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eu Drive\COMERCIAL\VIPPIM VIGILÂNCIA\CONTRATOS\1. PUBLICOS\VIGILÂNCIA\EMBRAPA\CONTRATO\CONTRATOS\EMBRAPA SEDE\REACTUAÇÃO\2024\"/>
    </mc:Choice>
  </mc:AlternateContent>
  <xr:revisionPtr revIDLastSave="0" documentId="13_ncr:1_{BFE92FAB-810E-4F47-A328-49F3B96FD07D}" xr6:coauthVersionLast="47" xr6:coauthVersionMax="47" xr10:uidLastSave="{00000000-0000-0000-0000-000000000000}"/>
  <bookViews>
    <workbookView xWindow="-120" yWindow="-120" windowWidth="20730" windowHeight="11160" firstSheet="11" activeTab="11" xr2:uid="{00000000-000D-0000-FFFF-FFFF00000000}"/>
  </bookViews>
  <sheets>
    <sheet name="Planilha Resumo Minimo MPOG" sheetId="50" state="hidden" r:id="rId1"/>
    <sheet name="Planilha2" sheetId="64" state="hidden" r:id="rId2"/>
    <sheet name="Postos de Trabalho" sheetId="51" state="hidden" r:id="rId3"/>
    <sheet name="Proposta Cadastro (2)" sheetId="85" state="hidden" r:id="rId4"/>
    <sheet name="Proposta Cadastro" sheetId="84" state="hidden" r:id="rId5"/>
    <sheet name="Agroenergia" sheetId="90" state="hidden" r:id="rId6"/>
    <sheet name="Cenargem" sheetId="89" state="hidden" r:id="rId7"/>
    <sheet name="Embrapa Agroenergia" sheetId="87" state="hidden" r:id="rId8"/>
    <sheet name="Diferença" sheetId="91" state="hidden" r:id="rId9"/>
    <sheet name="Embrapa Sede janeiro" sheetId="92" state="hidden" r:id="rId10"/>
    <sheet name="Embrapa Sede" sheetId="86" state="hidden" r:id="rId11"/>
    <sheet name="FATURA" sheetId="93" r:id="rId12"/>
    <sheet name="Proposta" sheetId="76" r:id="rId13"/>
    <sheet name="ES Memória de Cálculo" sheetId="29" r:id="rId14"/>
    <sheet name="1-DD" sheetId="78" r:id="rId15"/>
    <sheet name="2-DDM " sheetId="46" r:id="rId16"/>
    <sheet name="3-DDMon" sheetId="45" r:id="rId17"/>
    <sheet name="4-AN" sheetId="79" r:id="rId18"/>
    <sheet name="5-AD" sheetId="80" r:id="rId19"/>
    <sheet name="6-ANM" sheetId="81" r:id="rId20"/>
    <sheet name="7-ADM " sheetId="83" r:id="rId21"/>
    <sheet name="Moto" sheetId="77" r:id="rId22"/>
    <sheet name="Equip" sheetId="73" r:id="rId23"/>
    <sheet name="uniforme2" sheetId="71" r:id="rId24"/>
    <sheet name="Materiais" sheetId="43" state="hidden" r:id="rId25"/>
  </sheets>
  <externalReferences>
    <externalReference r:id="rId26"/>
    <externalReference r:id="rId27"/>
    <externalReference r:id="rId28"/>
    <externalReference r:id="rId29"/>
  </externalReferences>
  <definedNames>
    <definedName name="_1Sem_nome" localSheetId="14">#REF!</definedName>
    <definedName name="_1Sem_nome" localSheetId="15">#REF!</definedName>
    <definedName name="_1Sem_nome" localSheetId="16">#REF!</definedName>
    <definedName name="_1Sem_nome" localSheetId="17">#REF!</definedName>
    <definedName name="_1Sem_nome" localSheetId="18">#REF!</definedName>
    <definedName name="_1Sem_nome" localSheetId="19">#REF!</definedName>
    <definedName name="_1Sem_nome" localSheetId="20">#REF!</definedName>
    <definedName name="_1Sem_nome" localSheetId="5">#REF!</definedName>
    <definedName name="_1Sem_nome" localSheetId="6">#REF!</definedName>
    <definedName name="_1Sem_nome" localSheetId="8">#REF!</definedName>
    <definedName name="_1Sem_nome" localSheetId="7">#REF!</definedName>
    <definedName name="_1Sem_nome" localSheetId="10">#REF!</definedName>
    <definedName name="_1Sem_nome" localSheetId="9">#REF!</definedName>
    <definedName name="_1Sem_nome" localSheetId="13">#REF!</definedName>
    <definedName name="_1Sem_nome" localSheetId="11">#REF!</definedName>
    <definedName name="_1Sem_nome" localSheetId="24">#REF!</definedName>
    <definedName name="_1Sem_nome" localSheetId="21">#REF!</definedName>
    <definedName name="_1Sem_nome" localSheetId="0">#REF!</definedName>
    <definedName name="_1Sem_nome" localSheetId="12">#REF!</definedName>
    <definedName name="_1Sem_nome" localSheetId="4">#REF!</definedName>
    <definedName name="_1Sem_nome" localSheetId="3">#REF!</definedName>
    <definedName name="_1Sem_nome">#REF!</definedName>
    <definedName name="_P1" localSheetId="14">#REF!</definedName>
    <definedName name="_P1" localSheetId="15">#REF!</definedName>
    <definedName name="_P1" localSheetId="16">#REF!</definedName>
    <definedName name="_P1" localSheetId="17">#REF!</definedName>
    <definedName name="_P1" localSheetId="18">#REF!</definedName>
    <definedName name="_P1" localSheetId="19">#REF!</definedName>
    <definedName name="_P1" localSheetId="20">#REF!</definedName>
    <definedName name="_P1" localSheetId="5">#REF!</definedName>
    <definedName name="_P1" localSheetId="6">#REF!</definedName>
    <definedName name="_P1" localSheetId="8">#REF!</definedName>
    <definedName name="_P1" localSheetId="7">#REF!</definedName>
    <definedName name="_P1" localSheetId="10">#REF!</definedName>
    <definedName name="_P1" localSheetId="9">#REF!</definedName>
    <definedName name="_P1" localSheetId="13">#REF!</definedName>
    <definedName name="_P1" localSheetId="11">#REF!</definedName>
    <definedName name="_P1" localSheetId="24">#REF!</definedName>
    <definedName name="_P1" localSheetId="21">#REF!</definedName>
    <definedName name="_P1" localSheetId="0">#REF!</definedName>
    <definedName name="_P1" localSheetId="12">#REF!</definedName>
    <definedName name="_P1" localSheetId="4">#REF!</definedName>
    <definedName name="_P1" localSheetId="3">#REF!</definedName>
    <definedName name="_P1">#REF!</definedName>
    <definedName name="_P2" localSheetId="14">#REF!</definedName>
    <definedName name="_P2" localSheetId="15">#REF!</definedName>
    <definedName name="_P2" localSheetId="16">#REF!</definedName>
    <definedName name="_P2" localSheetId="17">#REF!</definedName>
    <definedName name="_P2" localSheetId="18">#REF!</definedName>
    <definedName name="_P2" localSheetId="19">#REF!</definedName>
    <definedName name="_P2" localSheetId="20">#REF!</definedName>
    <definedName name="_P2" localSheetId="5">#REF!</definedName>
    <definedName name="_P2" localSheetId="6">#REF!</definedName>
    <definedName name="_P2" localSheetId="8">#REF!</definedName>
    <definedName name="_P2" localSheetId="7">#REF!</definedName>
    <definedName name="_P2" localSheetId="10">#REF!</definedName>
    <definedName name="_P2" localSheetId="9">#REF!</definedName>
    <definedName name="_P2" localSheetId="13">#REF!</definedName>
    <definedName name="_P2" localSheetId="11">#REF!</definedName>
    <definedName name="_P2" localSheetId="24">#REF!</definedName>
    <definedName name="_P2" localSheetId="21">#REF!</definedName>
    <definedName name="_P2" localSheetId="0">#REF!</definedName>
    <definedName name="_P2" localSheetId="12">#REF!</definedName>
    <definedName name="_P2" localSheetId="4">#REF!</definedName>
    <definedName name="_P2" localSheetId="3">#REF!</definedName>
    <definedName name="_P2">#REF!</definedName>
    <definedName name="_p3" localSheetId="14">#REF!</definedName>
    <definedName name="_p3" localSheetId="15">#REF!</definedName>
    <definedName name="_p3" localSheetId="16">#REF!</definedName>
    <definedName name="_p3" localSheetId="17">#REF!</definedName>
    <definedName name="_p3" localSheetId="18">#REF!</definedName>
    <definedName name="_p3" localSheetId="19">#REF!</definedName>
    <definedName name="_p3" localSheetId="20">#REF!</definedName>
    <definedName name="_p3" localSheetId="5">#REF!</definedName>
    <definedName name="_p3" localSheetId="6">#REF!</definedName>
    <definedName name="_p3" localSheetId="8">#REF!</definedName>
    <definedName name="_p3" localSheetId="7">#REF!</definedName>
    <definedName name="_p3" localSheetId="10">#REF!</definedName>
    <definedName name="_p3" localSheetId="9">#REF!</definedName>
    <definedName name="_p3" localSheetId="13">#REF!</definedName>
    <definedName name="_p3" localSheetId="11">#REF!</definedName>
    <definedName name="_p3" localSheetId="24">#REF!</definedName>
    <definedName name="_p3" localSheetId="21">#REF!</definedName>
    <definedName name="_p3" localSheetId="0">#REF!</definedName>
    <definedName name="_p3" localSheetId="12">#REF!</definedName>
    <definedName name="_p3" localSheetId="4">#REF!</definedName>
    <definedName name="_p3" localSheetId="3">#REF!</definedName>
    <definedName name="_p3">#REF!</definedName>
    <definedName name="_xlnm.Print_Area" localSheetId="5">Agroenergia!$A$1:$I$6</definedName>
    <definedName name="_xlnm.Print_Area" localSheetId="6">Cenargem!$A$1:$J$58</definedName>
    <definedName name="_xlnm.Print_Area" localSheetId="7">'Embrapa Agroenergia'!$A$1:$J$55</definedName>
    <definedName name="_xlnm.Print_Area" localSheetId="10">'Embrapa Sede'!$A$1:$I$58</definedName>
    <definedName name="_xlnm.Print_Area" localSheetId="9">'Embrapa Sede janeiro'!$A$1:$I$60</definedName>
    <definedName name="_xlnm.Print_Area" localSheetId="11">FATURA!$A$1:$I$34</definedName>
    <definedName name="_xlnm.Print_Area" localSheetId="0">'Planilha Resumo Minimo MPOG'!$A$1:$M$20</definedName>
    <definedName name="_xlnm.Print_Area" localSheetId="12">Proposta!$A$1:$K$60</definedName>
    <definedName name="_xlnm.Print_Area" localSheetId="4">'Proposta Cadastro'!$A$1:$J$54</definedName>
    <definedName name="_xlnm.Print_Area" localSheetId="3">'Proposta Cadastro (2)'!$A$1:$J$54</definedName>
    <definedName name="BuiltIn_Print_Area" localSheetId="14">#REF!</definedName>
    <definedName name="BuiltIn_Print_Area" localSheetId="15">#REF!</definedName>
    <definedName name="BuiltIn_Print_Area" localSheetId="16">#REF!</definedName>
    <definedName name="BuiltIn_Print_Area" localSheetId="17">#REF!</definedName>
    <definedName name="BuiltIn_Print_Area" localSheetId="18">#REF!</definedName>
    <definedName name="BuiltIn_Print_Area" localSheetId="19">#REF!</definedName>
    <definedName name="BuiltIn_Print_Area" localSheetId="20">#REF!</definedName>
    <definedName name="BuiltIn_Print_Area" localSheetId="5">#REF!</definedName>
    <definedName name="BuiltIn_Print_Area" localSheetId="6">#REF!</definedName>
    <definedName name="BuiltIn_Print_Area" localSheetId="8">#REF!</definedName>
    <definedName name="BuiltIn_Print_Area" localSheetId="7">#REF!</definedName>
    <definedName name="BuiltIn_Print_Area" localSheetId="10">#REF!</definedName>
    <definedName name="BuiltIn_Print_Area" localSheetId="9">#REF!</definedName>
    <definedName name="BuiltIn_Print_Area" localSheetId="13">#REF!</definedName>
    <definedName name="BuiltIn_Print_Area" localSheetId="11">#REF!</definedName>
    <definedName name="BuiltIn_Print_Area" localSheetId="24">#REF!</definedName>
    <definedName name="BuiltIn_Print_Area" localSheetId="21">#REF!</definedName>
    <definedName name="BuiltIn_Print_Area" localSheetId="0">#REF!</definedName>
    <definedName name="BuiltIn_Print_Area" localSheetId="12">#REF!</definedName>
    <definedName name="BuiltIn_Print_Area" localSheetId="4">#REF!</definedName>
    <definedName name="BuiltIn_Print_Area" localSheetId="3">#REF!</definedName>
    <definedName name="BuiltIn_Print_Area">#REF!</definedName>
    <definedName name="BuiltIn_Print_Area___0" localSheetId="14">#REF!</definedName>
    <definedName name="BuiltIn_Print_Area___0" localSheetId="15">#REF!</definedName>
    <definedName name="BuiltIn_Print_Area___0" localSheetId="16">#REF!</definedName>
    <definedName name="BuiltIn_Print_Area___0" localSheetId="17">#REF!</definedName>
    <definedName name="BuiltIn_Print_Area___0" localSheetId="18">#REF!</definedName>
    <definedName name="BuiltIn_Print_Area___0" localSheetId="19">#REF!</definedName>
    <definedName name="BuiltIn_Print_Area___0" localSheetId="20">#REF!</definedName>
    <definedName name="BuiltIn_Print_Area___0" localSheetId="5">#REF!</definedName>
    <definedName name="BuiltIn_Print_Area___0" localSheetId="6">#REF!</definedName>
    <definedName name="BuiltIn_Print_Area___0" localSheetId="8">#REF!</definedName>
    <definedName name="BuiltIn_Print_Area___0" localSheetId="7">#REF!</definedName>
    <definedName name="BuiltIn_Print_Area___0" localSheetId="10">#REF!</definedName>
    <definedName name="BuiltIn_Print_Area___0" localSheetId="9">#REF!</definedName>
    <definedName name="BuiltIn_Print_Area___0" localSheetId="13">#REF!</definedName>
    <definedName name="BuiltIn_Print_Area___0" localSheetId="11">#REF!</definedName>
    <definedName name="BuiltIn_Print_Area___0" localSheetId="24">#REF!</definedName>
    <definedName name="BuiltIn_Print_Area___0" localSheetId="21">#REF!</definedName>
    <definedName name="BuiltIn_Print_Area___0" localSheetId="0">#REF!</definedName>
    <definedName name="BuiltIn_Print_Area___0" localSheetId="12">#REF!</definedName>
    <definedName name="BuiltIn_Print_Area___0" localSheetId="4">#REF!</definedName>
    <definedName name="BuiltIn_Print_Area___0" localSheetId="3">#REF!</definedName>
    <definedName name="BuiltIn_Print_Area___0">#REF!</definedName>
    <definedName name="CHEFE" localSheetId="14">#REF!</definedName>
    <definedName name="CHEFE" localSheetId="15">#REF!</definedName>
    <definedName name="CHEFE" localSheetId="16">#REF!</definedName>
    <definedName name="CHEFE" localSheetId="17">#REF!</definedName>
    <definedName name="CHEFE" localSheetId="18">#REF!</definedName>
    <definedName name="CHEFE" localSheetId="19">#REF!</definedName>
    <definedName name="CHEFE" localSheetId="20">#REF!</definedName>
    <definedName name="CHEFE" localSheetId="5">#REF!</definedName>
    <definedName name="CHEFE" localSheetId="6">#REF!</definedName>
    <definedName name="CHEFE" localSheetId="8">#REF!</definedName>
    <definedName name="CHEFE" localSheetId="7">#REF!</definedName>
    <definedName name="CHEFE" localSheetId="10">#REF!</definedName>
    <definedName name="CHEFE" localSheetId="9">#REF!</definedName>
    <definedName name="CHEFE" localSheetId="13">#REF!</definedName>
    <definedName name="CHEFE" localSheetId="11">#REF!</definedName>
    <definedName name="CHEFE" localSheetId="24">#REF!</definedName>
    <definedName name="CHEFE" localSheetId="21">#REF!</definedName>
    <definedName name="CHEFE" localSheetId="0">#REF!</definedName>
    <definedName name="CHEFE" localSheetId="12">#REF!</definedName>
    <definedName name="CHEFE" localSheetId="4">#REF!</definedName>
    <definedName name="CHEFE" localSheetId="3">#REF!</definedName>
    <definedName name="CHEFE">#REF!</definedName>
    <definedName name="Excel_BuiltIn_Print_Area_1" localSheetId="14">#REF!</definedName>
    <definedName name="Excel_BuiltIn_Print_Area_1" localSheetId="17">#REF!</definedName>
    <definedName name="Excel_BuiltIn_Print_Area_1" localSheetId="18">#REF!</definedName>
    <definedName name="Excel_BuiltIn_Print_Area_1" localSheetId="19">#REF!</definedName>
    <definedName name="Excel_BuiltIn_Print_Area_1" localSheetId="20">#REF!</definedName>
    <definedName name="Excel_BuiltIn_Print_Area_1" localSheetId="5">#REF!</definedName>
    <definedName name="Excel_BuiltIn_Print_Area_1" localSheetId="6">#REF!</definedName>
    <definedName name="Excel_BuiltIn_Print_Area_1" localSheetId="8">#REF!</definedName>
    <definedName name="Excel_BuiltIn_Print_Area_1" localSheetId="7">#REF!</definedName>
    <definedName name="Excel_BuiltIn_Print_Area_1" localSheetId="10">#REF!</definedName>
    <definedName name="Excel_BuiltIn_Print_Area_1" localSheetId="9">#REF!</definedName>
    <definedName name="Excel_BuiltIn_Print_Area_1" localSheetId="21">#REF!</definedName>
    <definedName name="Excel_BuiltIn_Print_Area_1" localSheetId="4">#REF!</definedName>
    <definedName name="Excel_BuiltIn_Print_Area_1" localSheetId="3">#REF!</definedName>
    <definedName name="Excel_BuiltIn_Print_Area_1">#REF!</definedName>
    <definedName name="Excel_BuiltIn_Print_Area_2" localSheetId="14">#REF!</definedName>
    <definedName name="Excel_BuiltIn_Print_Area_2" localSheetId="17">#REF!</definedName>
    <definedName name="Excel_BuiltIn_Print_Area_2" localSheetId="18">#REF!</definedName>
    <definedName name="Excel_BuiltIn_Print_Area_2" localSheetId="19">#REF!</definedName>
    <definedName name="Excel_BuiltIn_Print_Area_2" localSheetId="20">#REF!</definedName>
    <definedName name="Excel_BuiltIn_Print_Area_2" localSheetId="5">#REF!</definedName>
    <definedName name="Excel_BuiltIn_Print_Area_2" localSheetId="6">#REF!</definedName>
    <definedName name="Excel_BuiltIn_Print_Area_2" localSheetId="8">#REF!</definedName>
    <definedName name="Excel_BuiltIn_Print_Area_2" localSheetId="7">#REF!</definedName>
    <definedName name="Excel_BuiltIn_Print_Area_2" localSheetId="10">#REF!</definedName>
    <definedName name="Excel_BuiltIn_Print_Area_2" localSheetId="9">#REF!</definedName>
    <definedName name="Excel_BuiltIn_Print_Area_2" localSheetId="21">#REF!</definedName>
    <definedName name="Excel_BuiltIn_Print_Area_2" localSheetId="4">#REF!</definedName>
    <definedName name="Excel_BuiltIn_Print_Area_2" localSheetId="3">#REF!</definedName>
    <definedName name="Excel_BuiltIn_Print_Area_2">#REF!</definedName>
    <definedName name="luciene" localSheetId="14">#REF!</definedName>
    <definedName name="luciene" localSheetId="15">#REF!</definedName>
    <definedName name="luciene" localSheetId="16">#REF!</definedName>
    <definedName name="luciene" localSheetId="17">#REF!</definedName>
    <definedName name="luciene" localSheetId="18">#REF!</definedName>
    <definedName name="luciene" localSheetId="19">#REF!</definedName>
    <definedName name="luciene" localSheetId="20">#REF!</definedName>
    <definedName name="luciene" localSheetId="5">#REF!</definedName>
    <definedName name="luciene" localSheetId="6">#REF!</definedName>
    <definedName name="luciene" localSheetId="8">#REF!</definedName>
    <definedName name="luciene" localSheetId="7">#REF!</definedName>
    <definedName name="luciene" localSheetId="10">#REF!</definedName>
    <definedName name="luciene" localSheetId="9">#REF!</definedName>
    <definedName name="luciene" localSheetId="13">#REF!</definedName>
    <definedName name="luciene" localSheetId="11">#REF!</definedName>
    <definedName name="luciene" localSheetId="24">#REF!</definedName>
    <definedName name="luciene" localSheetId="21">#REF!</definedName>
    <definedName name="luciene" localSheetId="0">#REF!</definedName>
    <definedName name="luciene" localSheetId="12">#REF!</definedName>
    <definedName name="luciene" localSheetId="4">#REF!</definedName>
    <definedName name="luciene" localSheetId="3">#REF!</definedName>
    <definedName name="luciene">#REF!</definedName>
    <definedName name="Po" localSheetId="14">#REF!</definedName>
    <definedName name="Po" localSheetId="15">#REF!</definedName>
    <definedName name="Po" localSheetId="16">#REF!</definedName>
    <definedName name="Po" localSheetId="17">#REF!</definedName>
    <definedName name="Po" localSheetId="18">#REF!</definedName>
    <definedName name="Po" localSheetId="19">#REF!</definedName>
    <definedName name="Po" localSheetId="20">#REF!</definedName>
    <definedName name="Po" localSheetId="5">#REF!</definedName>
    <definedName name="Po" localSheetId="6">#REF!</definedName>
    <definedName name="Po" localSheetId="8">#REF!</definedName>
    <definedName name="Po" localSheetId="7">#REF!</definedName>
    <definedName name="Po" localSheetId="10">#REF!</definedName>
    <definedName name="Po" localSheetId="9">#REF!</definedName>
    <definedName name="Po" localSheetId="13">#REF!</definedName>
    <definedName name="Po" localSheetId="11">#REF!</definedName>
    <definedName name="Po" localSheetId="24">#REF!</definedName>
    <definedName name="Po" localSheetId="21">#REF!</definedName>
    <definedName name="Po" localSheetId="0">#REF!</definedName>
    <definedName name="Po" localSheetId="12">#REF!</definedName>
    <definedName name="Po" localSheetId="4">#REF!</definedName>
    <definedName name="Po" localSheetId="3">#REF!</definedName>
    <definedName name="Po">#REF!</definedName>
    <definedName name="ssss" localSheetId="14">#REF!</definedName>
    <definedName name="ssss" localSheetId="15">#REF!</definedName>
    <definedName name="ssss" localSheetId="16">#REF!</definedName>
    <definedName name="ssss" localSheetId="17">#REF!</definedName>
    <definedName name="ssss" localSheetId="18">#REF!</definedName>
    <definedName name="ssss" localSheetId="19">#REF!</definedName>
    <definedName name="ssss" localSheetId="20">#REF!</definedName>
    <definedName name="ssss" localSheetId="5">#REF!</definedName>
    <definedName name="ssss" localSheetId="6">#REF!</definedName>
    <definedName name="ssss" localSheetId="8">#REF!</definedName>
    <definedName name="ssss" localSheetId="7">#REF!</definedName>
    <definedName name="ssss" localSheetId="10">#REF!</definedName>
    <definedName name="ssss" localSheetId="9">#REF!</definedName>
    <definedName name="ssss" localSheetId="13">#REF!</definedName>
    <definedName name="ssss" localSheetId="11">#REF!</definedName>
    <definedName name="ssss" localSheetId="24">#REF!</definedName>
    <definedName name="ssss" localSheetId="21">#REF!</definedName>
    <definedName name="ssss" localSheetId="0">#REF!</definedName>
    <definedName name="ssss" localSheetId="12">#REF!</definedName>
    <definedName name="ssss" localSheetId="4">#REF!</definedName>
    <definedName name="ssss" localSheetId="3">#REF!</definedName>
    <definedName name="ssss">#REF!</definedName>
    <definedName name="sssss" localSheetId="14">#REF!</definedName>
    <definedName name="sssss" localSheetId="15">#REF!</definedName>
    <definedName name="sssss" localSheetId="16">#REF!</definedName>
    <definedName name="sssss" localSheetId="17">#REF!</definedName>
    <definedName name="sssss" localSheetId="18">#REF!</definedName>
    <definedName name="sssss" localSheetId="19">#REF!</definedName>
    <definedName name="sssss" localSheetId="20">#REF!</definedName>
    <definedName name="sssss" localSheetId="5">#REF!</definedName>
    <definedName name="sssss" localSheetId="6">#REF!</definedName>
    <definedName name="sssss" localSheetId="8">#REF!</definedName>
    <definedName name="sssss" localSheetId="7">#REF!</definedName>
    <definedName name="sssss" localSheetId="10">#REF!</definedName>
    <definedName name="sssss" localSheetId="9">#REF!</definedName>
    <definedName name="sssss" localSheetId="13">#REF!</definedName>
    <definedName name="sssss" localSheetId="11">#REF!</definedName>
    <definedName name="sssss" localSheetId="24">#REF!</definedName>
    <definedName name="sssss" localSheetId="21">#REF!</definedName>
    <definedName name="sssss" localSheetId="0">#REF!</definedName>
    <definedName name="sssss" localSheetId="12">#REF!</definedName>
    <definedName name="sssss" localSheetId="4">#REF!</definedName>
    <definedName name="sssss" localSheetId="3">#REF!</definedName>
    <definedName name="sssss">#REF!</definedName>
    <definedName name="To" localSheetId="14">#REF!</definedName>
    <definedName name="To" localSheetId="15">#REF!</definedName>
    <definedName name="To" localSheetId="16">#REF!</definedName>
    <definedName name="To" localSheetId="17">#REF!</definedName>
    <definedName name="To" localSheetId="18">#REF!</definedName>
    <definedName name="To" localSheetId="19">#REF!</definedName>
    <definedName name="To" localSheetId="20">#REF!</definedName>
    <definedName name="To" localSheetId="5">#REF!</definedName>
    <definedName name="To" localSheetId="6">#REF!</definedName>
    <definedName name="To" localSheetId="8">#REF!</definedName>
    <definedName name="To" localSheetId="7">#REF!</definedName>
    <definedName name="To" localSheetId="10">#REF!</definedName>
    <definedName name="To" localSheetId="9">#REF!</definedName>
    <definedName name="To" localSheetId="13">#REF!</definedName>
    <definedName name="To" localSheetId="11">#REF!</definedName>
    <definedName name="To" localSheetId="24">#REF!</definedName>
    <definedName name="To" localSheetId="21">#REF!</definedName>
    <definedName name="To" localSheetId="0">#REF!</definedName>
    <definedName name="To" localSheetId="12">#REF!</definedName>
    <definedName name="To" localSheetId="4">#REF!</definedName>
    <definedName name="To" localSheetId="3">#REF!</definedName>
    <definedName name="To">#REF!</definedName>
    <definedName name="vvvv" localSheetId="14">#REF!</definedName>
    <definedName name="vvvv" localSheetId="15">#REF!</definedName>
    <definedName name="vvvv" localSheetId="16">#REF!</definedName>
    <definedName name="vvvv" localSheetId="17">#REF!</definedName>
    <definedName name="vvvv" localSheetId="18">#REF!</definedName>
    <definedName name="vvvv" localSheetId="19">#REF!</definedName>
    <definedName name="vvvv" localSheetId="20">#REF!</definedName>
    <definedName name="vvvv" localSheetId="5">#REF!</definedName>
    <definedName name="vvvv" localSheetId="6">#REF!</definedName>
    <definedName name="vvvv" localSheetId="8">#REF!</definedName>
    <definedName name="vvvv" localSheetId="7">#REF!</definedName>
    <definedName name="vvvv" localSheetId="10">#REF!</definedName>
    <definedName name="vvvv" localSheetId="9">#REF!</definedName>
    <definedName name="vvvv" localSheetId="13">#REF!</definedName>
    <definedName name="vvvv" localSheetId="11">#REF!</definedName>
    <definedName name="vvvv" localSheetId="24">#REF!</definedName>
    <definedName name="vvvv" localSheetId="21">#REF!</definedName>
    <definedName name="vvvv" localSheetId="0">#REF!</definedName>
    <definedName name="vvvv" localSheetId="12">#REF!</definedName>
    <definedName name="vvvv" localSheetId="4">#REF!</definedName>
    <definedName name="vvvv" localSheetId="3">#REF!</definedName>
    <definedName name="vvvv">#REF!</definedName>
  </definedNames>
  <calcPr calcId="191029" iterate="1"/>
</workbook>
</file>

<file path=xl/calcChain.xml><?xml version="1.0" encoding="utf-8"?>
<calcChain xmlns="http://schemas.openxmlformats.org/spreadsheetml/2006/main">
  <c r="C32" i="81" l="1"/>
  <c r="C29" i="81"/>
  <c r="C29" i="79"/>
  <c r="C28" i="46"/>
  <c r="D56" i="78"/>
  <c r="B22" i="83"/>
  <c r="B22" i="81"/>
  <c r="B22" i="80"/>
  <c r="B22" i="79"/>
  <c r="B22" i="45"/>
  <c r="B20" i="46"/>
  <c r="B22" i="46"/>
  <c r="G37" i="93"/>
  <c r="G36" i="93"/>
  <c r="G35" i="93"/>
  <c r="E32" i="93"/>
  <c r="F31" i="93"/>
  <c r="F30" i="93"/>
  <c r="F29" i="93"/>
  <c r="F28" i="93"/>
  <c r="F27" i="93"/>
  <c r="F26" i="93"/>
  <c r="F25" i="93"/>
  <c r="B7" i="91"/>
  <c r="M33" i="86"/>
  <c r="E32" i="92"/>
  <c r="F31" i="92"/>
  <c r="F30" i="92"/>
  <c r="F29" i="92"/>
  <c r="F28" i="92"/>
  <c r="F27" i="92"/>
  <c r="F26" i="92"/>
  <c r="F25" i="92"/>
  <c r="F32" i="93" l="1"/>
  <c r="G38" i="93"/>
  <c r="F32" i="92"/>
  <c r="E5" i="90"/>
  <c r="E4" i="90"/>
  <c r="D5" i="90"/>
  <c r="D4" i="90"/>
  <c r="C5" i="90"/>
  <c r="C4" i="90"/>
  <c r="C60" i="46"/>
  <c r="C59" i="46"/>
  <c r="B57" i="46"/>
  <c r="E6" i="90" l="1"/>
  <c r="F5" i="90"/>
  <c r="F4" i="90"/>
  <c r="E30" i="89"/>
  <c r="F29" i="89"/>
  <c r="F28" i="89"/>
  <c r="F27" i="89"/>
  <c r="F26" i="89"/>
  <c r="F25" i="89"/>
  <c r="F6" i="90" l="1"/>
  <c r="F30" i="89"/>
  <c r="E27" i="87"/>
  <c r="F26" i="87"/>
  <c r="F25" i="87"/>
  <c r="F27" i="87" l="1"/>
  <c r="E32" i="86"/>
  <c r="F31" i="86"/>
  <c r="F30" i="86"/>
  <c r="F29" i="86"/>
  <c r="F28" i="86"/>
  <c r="F27" i="86"/>
  <c r="F26" i="86"/>
  <c r="F25" i="86"/>
  <c r="F32" i="86" l="1"/>
  <c r="E27" i="85"/>
  <c r="F26" i="85"/>
  <c r="F25" i="85"/>
  <c r="F24" i="85"/>
  <c r="F23" i="85"/>
  <c r="F22" i="85"/>
  <c r="F21" i="85"/>
  <c r="F20" i="85"/>
  <c r="B20" i="29"/>
  <c r="F27" i="85" l="1"/>
  <c r="B37" i="29"/>
  <c r="B35" i="29"/>
  <c r="B27" i="29"/>
  <c r="B28" i="29" s="1"/>
  <c r="B25" i="29" l="1"/>
  <c r="B30" i="29" s="1"/>
  <c r="B40" i="29"/>
  <c r="E32" i="76"/>
  <c r="C5" i="77"/>
  <c r="E6" i="77"/>
  <c r="G6" i="77" s="1"/>
  <c r="F12" i="73"/>
  <c r="H12" i="73" s="1"/>
  <c r="F21" i="73"/>
  <c r="H21" i="73" s="1"/>
  <c r="F20" i="73"/>
  <c r="H20" i="73" s="1"/>
  <c r="I3" i="71"/>
  <c r="I28" i="71"/>
  <c r="I27" i="71"/>
  <c r="I26" i="71"/>
  <c r="I25" i="71"/>
  <c r="I24" i="71"/>
  <c r="I23" i="71"/>
  <c r="I22" i="71"/>
  <c r="I21" i="71"/>
  <c r="I20" i="71"/>
  <c r="I19" i="71"/>
  <c r="I18" i="71"/>
  <c r="H22" i="73" l="1"/>
  <c r="I29" i="71"/>
  <c r="I30" i="71" s="1"/>
  <c r="E5" i="77"/>
  <c r="G5" i="77" s="1"/>
  <c r="H24" i="73"/>
  <c r="C58" i="46"/>
  <c r="C107" i="79" l="1"/>
  <c r="C107" i="80"/>
  <c r="C108" i="81"/>
  <c r="C108" i="83"/>
  <c r="C105" i="46"/>
  <c r="C105" i="83"/>
  <c r="C105" i="81"/>
  <c r="H25" i="84"/>
  <c r="I25" i="84" s="1"/>
  <c r="J25" i="84" s="1"/>
  <c r="K25" i="84" s="1"/>
  <c r="E27" i="84"/>
  <c r="F26" i="84"/>
  <c r="F25" i="84"/>
  <c r="F24" i="84"/>
  <c r="F23" i="84"/>
  <c r="F22" i="84"/>
  <c r="F21" i="84"/>
  <c r="F20" i="84"/>
  <c r="F27" i="84" l="1"/>
  <c r="D56" i="83"/>
  <c r="D56" i="81"/>
  <c r="C13" i="83"/>
  <c r="C14" i="83" s="1"/>
  <c r="C13" i="81"/>
  <c r="C13" i="80"/>
  <c r="C13" i="79"/>
  <c r="C13" i="45"/>
  <c r="C13" i="46"/>
  <c r="C13" i="78"/>
  <c r="A1" i="83"/>
  <c r="A13" i="83" s="1"/>
  <c r="A1" i="81"/>
  <c r="A1" i="80"/>
  <c r="A1" i="79"/>
  <c r="A1" i="45"/>
  <c r="A1" i="46"/>
  <c r="A1" i="78"/>
  <c r="B115" i="83"/>
  <c r="E113" i="83"/>
  <c r="B87" i="83"/>
  <c r="B86" i="83"/>
  <c r="B85" i="83"/>
  <c r="B84" i="83"/>
  <c r="B83" i="83"/>
  <c r="B78" i="83"/>
  <c r="B77" i="83"/>
  <c r="B76" i="83"/>
  <c r="B75" i="83"/>
  <c r="B74" i="83"/>
  <c r="B73" i="83"/>
  <c r="B67" i="83"/>
  <c r="D57" i="83"/>
  <c r="B52" i="83"/>
  <c r="B51" i="83"/>
  <c r="B50" i="83"/>
  <c r="B49" i="83"/>
  <c r="B48" i="83"/>
  <c r="B47" i="83"/>
  <c r="B46" i="83"/>
  <c r="B45" i="83"/>
  <c r="B39" i="83"/>
  <c r="B38" i="83"/>
  <c r="F31" i="76"/>
  <c r="F30" i="76"/>
  <c r="F29" i="76"/>
  <c r="F28" i="76"/>
  <c r="F27" i="76"/>
  <c r="F26" i="76"/>
  <c r="F25" i="76"/>
  <c r="I12" i="71"/>
  <c r="B40" i="83" l="1"/>
  <c r="B79" i="83"/>
  <c r="F32" i="76"/>
  <c r="B66" i="83"/>
  <c r="B69" i="83" s="1"/>
  <c r="B53" i="83"/>
  <c r="B114" i="46"/>
  <c r="B113" i="46"/>
  <c r="C57" i="78"/>
  <c r="C100" i="83" l="1"/>
  <c r="C95" i="83"/>
  <c r="B115" i="81"/>
  <c r="E113" i="81"/>
  <c r="B87" i="81"/>
  <c r="B86" i="81"/>
  <c r="B85" i="81"/>
  <c r="B84" i="81"/>
  <c r="B83" i="81"/>
  <c r="B78" i="81"/>
  <c r="B77" i="81"/>
  <c r="B76" i="81"/>
  <c r="B75" i="81"/>
  <c r="B73" i="81"/>
  <c r="D57" i="81"/>
  <c r="B52" i="81"/>
  <c r="B51" i="81"/>
  <c r="B50" i="81"/>
  <c r="B49" i="81"/>
  <c r="B48" i="81"/>
  <c r="B47" i="81"/>
  <c r="B46" i="81"/>
  <c r="B45" i="81"/>
  <c r="B39" i="81"/>
  <c r="B38" i="81"/>
  <c r="C14" i="81"/>
  <c r="A13" i="81"/>
  <c r="B115" i="80"/>
  <c r="B114" i="80"/>
  <c r="B113" i="80"/>
  <c r="B87" i="80"/>
  <c r="B86" i="80"/>
  <c r="B85" i="80"/>
  <c r="B84" i="80"/>
  <c r="B83" i="80"/>
  <c r="B78" i="80"/>
  <c r="B77" i="80"/>
  <c r="B76" i="80"/>
  <c r="B75" i="80"/>
  <c r="B73" i="80"/>
  <c r="C61" i="80"/>
  <c r="C60" i="80"/>
  <c r="C60" i="81" s="1"/>
  <c r="C60" i="83" s="1"/>
  <c r="C59" i="80"/>
  <c r="C59" i="81" s="1"/>
  <c r="C59" i="83" s="1"/>
  <c r="C58" i="80"/>
  <c r="C58" i="81" s="1"/>
  <c r="C58" i="83" s="1"/>
  <c r="B56" i="80"/>
  <c r="D56" i="80" s="1"/>
  <c r="B52" i="80"/>
  <c r="B51" i="80"/>
  <c r="B50" i="80"/>
  <c r="B49" i="80"/>
  <c r="B48" i="80"/>
  <c r="B47" i="80"/>
  <c r="B46" i="80"/>
  <c r="B45" i="80"/>
  <c r="B39" i="80"/>
  <c r="B40" i="80" s="1"/>
  <c r="B38" i="80"/>
  <c r="B20" i="80"/>
  <c r="C14" i="80"/>
  <c r="A13" i="80"/>
  <c r="B115" i="79"/>
  <c r="E113" i="79"/>
  <c r="B87" i="79"/>
  <c r="B86" i="79"/>
  <c r="B85" i="79"/>
  <c r="B84" i="79"/>
  <c r="B83" i="79"/>
  <c r="B78" i="79"/>
  <c r="B77" i="79"/>
  <c r="B76" i="79"/>
  <c r="B75" i="79"/>
  <c r="B73" i="79"/>
  <c r="D57" i="79"/>
  <c r="D56" i="79"/>
  <c r="B52" i="79"/>
  <c r="B51" i="79"/>
  <c r="B50" i="79"/>
  <c r="B49" i="79"/>
  <c r="B48" i="79"/>
  <c r="B47" i="79"/>
  <c r="B46" i="79"/>
  <c r="B45" i="79"/>
  <c r="B39" i="79"/>
  <c r="B38" i="79"/>
  <c r="C14" i="79"/>
  <c r="A13" i="79"/>
  <c r="B115" i="78"/>
  <c r="B87" i="78"/>
  <c r="B86" i="78"/>
  <c r="B85" i="78"/>
  <c r="B84" i="78"/>
  <c r="B83" i="78"/>
  <c r="B78" i="78"/>
  <c r="B77" i="78"/>
  <c r="B76" i="78"/>
  <c r="B75" i="78"/>
  <c r="B73" i="78"/>
  <c r="B52" i="78"/>
  <c r="B51" i="78"/>
  <c r="B50" i="78"/>
  <c r="B49" i="78"/>
  <c r="B48" i="78"/>
  <c r="B47" i="78"/>
  <c r="B46" i="78"/>
  <c r="B45" i="78"/>
  <c r="B39" i="78"/>
  <c r="B38" i="78"/>
  <c r="C26" i="78"/>
  <c r="E56" i="78" s="1"/>
  <c r="C14" i="78"/>
  <c r="A13" i="78"/>
  <c r="E4" i="77"/>
  <c r="G4" i="77" s="1"/>
  <c r="F13" i="73"/>
  <c r="H13" i="73" s="1"/>
  <c r="C26" i="80" l="1"/>
  <c r="B20" i="81"/>
  <c r="B40" i="79"/>
  <c r="B66" i="79" s="1"/>
  <c r="B40" i="81"/>
  <c r="B66" i="81" s="1"/>
  <c r="B40" i="78"/>
  <c r="B66" i="78" s="1"/>
  <c r="G7" i="77"/>
  <c r="G9" i="77" s="1"/>
  <c r="B113" i="81"/>
  <c r="B113" i="83"/>
  <c r="C27" i="78"/>
  <c r="C33" i="78" s="1"/>
  <c r="C56" i="78"/>
  <c r="B53" i="80"/>
  <c r="B53" i="79"/>
  <c r="B53" i="78"/>
  <c r="B53" i="81"/>
  <c r="B66" i="80"/>
  <c r="E56" i="80"/>
  <c r="C56" i="80" s="1"/>
  <c r="C27" i="80"/>
  <c r="E27" i="80" s="1"/>
  <c r="B89" i="83"/>
  <c r="C62" i="78" l="1"/>
  <c r="C68" i="78" s="1"/>
  <c r="B20" i="83"/>
  <c r="C26" i="83" s="1"/>
  <c r="C26" i="81"/>
  <c r="C33" i="80"/>
  <c r="D33" i="80" s="1"/>
  <c r="C45" i="78"/>
  <c r="C107" i="83"/>
  <c r="C107" i="81"/>
  <c r="C107" i="46"/>
  <c r="C51" i="78"/>
  <c r="C49" i="78"/>
  <c r="C85" i="78"/>
  <c r="C75" i="78"/>
  <c r="C47" i="78"/>
  <c r="C76" i="78"/>
  <c r="C73" i="78"/>
  <c r="C83" i="78"/>
  <c r="C77" i="78"/>
  <c r="C87" i="78"/>
  <c r="C48" i="78"/>
  <c r="C84" i="78"/>
  <c r="C95" i="78"/>
  <c r="C52" i="78"/>
  <c r="C124" i="78"/>
  <c r="C38" i="78"/>
  <c r="C46" i="78"/>
  <c r="C88" i="78"/>
  <c r="C86" i="78"/>
  <c r="C50" i="78"/>
  <c r="C39" i="78"/>
  <c r="C78" i="78"/>
  <c r="B89" i="78"/>
  <c r="B89" i="79"/>
  <c r="B89" i="81"/>
  <c r="B89" i="80"/>
  <c r="C78" i="80"/>
  <c r="C52" i="80"/>
  <c r="C48" i="80"/>
  <c r="C124" i="80"/>
  <c r="C88" i="80"/>
  <c r="C39" i="80"/>
  <c r="C86" i="80"/>
  <c r="C84" i="80"/>
  <c r="C46" i="80"/>
  <c r="C45" i="80"/>
  <c r="C50" i="80"/>
  <c r="C76" i="80"/>
  <c r="C49" i="80"/>
  <c r="C77" i="80"/>
  <c r="C87" i="80"/>
  <c r="C73" i="80"/>
  <c r="C51" i="80"/>
  <c r="I11" i="71"/>
  <c r="I10" i="71"/>
  <c r="I9" i="71"/>
  <c r="I8" i="71"/>
  <c r="I7" i="71"/>
  <c r="I6" i="71"/>
  <c r="I5" i="71"/>
  <c r="I4" i="71"/>
  <c r="F11" i="73"/>
  <c r="H11" i="73" s="1"/>
  <c r="F10" i="73"/>
  <c r="F9" i="73"/>
  <c r="F8" i="73"/>
  <c r="F7" i="73"/>
  <c r="F6" i="73"/>
  <c r="F5" i="73"/>
  <c r="F4" i="73"/>
  <c r="H4" i="73" s="1"/>
  <c r="C75" i="80" l="1"/>
  <c r="C27" i="81"/>
  <c r="E56" i="81"/>
  <c r="C56" i="81" s="1"/>
  <c r="E56" i="83"/>
  <c r="C56" i="83" s="1"/>
  <c r="C27" i="83"/>
  <c r="C32" i="83" s="1"/>
  <c r="C33" i="83"/>
  <c r="K25" i="86"/>
  <c r="K25" i="92"/>
  <c r="K28" i="89"/>
  <c r="K29" i="86"/>
  <c r="K29" i="92"/>
  <c r="L29" i="92" s="1"/>
  <c r="C47" i="80"/>
  <c r="C53" i="80" s="1"/>
  <c r="C67" i="80" s="1"/>
  <c r="C38" i="80"/>
  <c r="C40" i="80" s="1"/>
  <c r="C83" i="80"/>
  <c r="C85" i="80"/>
  <c r="K25" i="89"/>
  <c r="K25" i="87"/>
  <c r="C33" i="81"/>
  <c r="C100" i="78"/>
  <c r="I13" i="71"/>
  <c r="I14" i="71" s="1"/>
  <c r="C53" i="78"/>
  <c r="C67" i="78" s="1"/>
  <c r="C89" i="78"/>
  <c r="C40" i="78"/>
  <c r="C95" i="81"/>
  <c r="C100" i="81"/>
  <c r="C100" i="80"/>
  <c r="C95" i="80"/>
  <c r="C95" i="79"/>
  <c r="C100" i="79"/>
  <c r="C60" i="45"/>
  <c r="C60" i="79" s="1"/>
  <c r="C59" i="45"/>
  <c r="C59" i="79" s="1"/>
  <c r="C58" i="45"/>
  <c r="C58" i="79" s="1"/>
  <c r="D33" i="83" l="1"/>
  <c r="C87" i="83"/>
  <c r="C86" i="83"/>
  <c r="C88" i="83"/>
  <c r="C52" i="83"/>
  <c r="C75" i="83"/>
  <c r="C45" i="83"/>
  <c r="C85" i="83"/>
  <c r="C51" i="83"/>
  <c r="C78" i="83"/>
  <c r="C50" i="83"/>
  <c r="C49" i="83"/>
  <c r="C76" i="83"/>
  <c r="C39" i="83"/>
  <c r="C83" i="83"/>
  <c r="C48" i="83"/>
  <c r="C74" i="83"/>
  <c r="C84" i="83"/>
  <c r="C47" i="83"/>
  <c r="C124" i="83"/>
  <c r="C77" i="83"/>
  <c r="C46" i="83"/>
  <c r="C38" i="83"/>
  <c r="C40" i="83" s="1"/>
  <c r="C73" i="83"/>
  <c r="C79" i="83" s="1"/>
  <c r="C126" i="83" s="1"/>
  <c r="C89" i="80"/>
  <c r="L25" i="92"/>
  <c r="D33" i="81"/>
  <c r="C50" i="81"/>
  <c r="C52" i="81"/>
  <c r="C78" i="81"/>
  <c r="C75" i="81"/>
  <c r="C49" i="81"/>
  <c r="C47" i="81"/>
  <c r="C88" i="81"/>
  <c r="C87" i="81"/>
  <c r="C124" i="81"/>
  <c r="C48" i="81"/>
  <c r="C46" i="81"/>
  <c r="C45" i="81"/>
  <c r="C84" i="81"/>
  <c r="C51" i="81"/>
  <c r="C85" i="81"/>
  <c r="C76" i="81"/>
  <c r="C39" i="81"/>
  <c r="C38" i="81"/>
  <c r="C77" i="81"/>
  <c r="C86" i="81"/>
  <c r="C73" i="81"/>
  <c r="C83" i="81"/>
  <c r="C105" i="80"/>
  <c r="C105" i="79"/>
  <c r="C105" i="45"/>
  <c r="C105" i="78"/>
  <c r="D57" i="46"/>
  <c r="B57" i="80" s="1"/>
  <c r="B20" i="45"/>
  <c r="B20" i="79" s="1"/>
  <c r="C26" i="79" s="1"/>
  <c r="C89" i="83" l="1"/>
  <c r="C53" i="83"/>
  <c r="C67" i="83" s="1"/>
  <c r="E56" i="79"/>
  <c r="C56" i="79" s="1"/>
  <c r="C27" i="79"/>
  <c r="C33" i="79"/>
  <c r="K31" i="86"/>
  <c r="K31" i="92"/>
  <c r="L31" i="92" s="1"/>
  <c r="C40" i="81"/>
  <c r="C57" i="80"/>
  <c r="C62" i="80" s="1"/>
  <c r="C68" i="80" s="1"/>
  <c r="B57" i="81"/>
  <c r="K30" i="86"/>
  <c r="K30" i="92"/>
  <c r="L30" i="92" s="1"/>
  <c r="C89" i="81"/>
  <c r="C53" i="81"/>
  <c r="C67" i="81" s="1"/>
  <c r="K29" i="89"/>
  <c r="C26" i="46"/>
  <c r="H8" i="73"/>
  <c r="C48" i="79" l="1"/>
  <c r="C38" i="79"/>
  <c r="C124" i="79"/>
  <c r="C52" i="79"/>
  <c r="C84" i="79"/>
  <c r="C88" i="79"/>
  <c r="C86" i="79"/>
  <c r="C49" i="79"/>
  <c r="C51" i="79"/>
  <c r="C78" i="79"/>
  <c r="C46" i="79"/>
  <c r="D33" i="79"/>
  <c r="C39" i="79"/>
  <c r="C40" i="79" s="1"/>
  <c r="C87" i="79"/>
  <c r="C76" i="79"/>
  <c r="C45" i="79"/>
  <c r="C53" i="79" s="1"/>
  <c r="C67" i="79" s="1"/>
  <c r="C77" i="79"/>
  <c r="C50" i="79"/>
  <c r="C75" i="79"/>
  <c r="C47" i="79"/>
  <c r="C83" i="79"/>
  <c r="C73" i="79"/>
  <c r="C85" i="79"/>
  <c r="B57" i="83"/>
  <c r="C57" i="83" s="1"/>
  <c r="C62" i="83" s="1"/>
  <c r="C68" i="83" s="1"/>
  <c r="C57" i="81"/>
  <c r="C62" i="81" s="1"/>
  <c r="C68" i="81" s="1"/>
  <c r="H5" i="73"/>
  <c r="H6" i="73"/>
  <c r="H7" i="73"/>
  <c r="H9" i="73"/>
  <c r="H10" i="73"/>
  <c r="C89" i="79" l="1"/>
  <c r="K28" i="86"/>
  <c r="K26" i="87"/>
  <c r="K27" i="87" s="1"/>
  <c r="K41" i="87" s="1"/>
  <c r="K27" i="89"/>
  <c r="K28" i="92"/>
  <c r="L28" i="92" s="1"/>
  <c r="H14" i="73"/>
  <c r="H16" i="73" s="1"/>
  <c r="C106" i="83" s="1"/>
  <c r="D56" i="46"/>
  <c r="C106" i="46" l="1"/>
  <c r="C106" i="80" s="1"/>
  <c r="C109" i="80" s="1"/>
  <c r="C128" i="80" s="1"/>
  <c r="C106" i="79"/>
  <c r="C109" i="79" s="1"/>
  <c r="C128" i="79" s="1"/>
  <c r="C106" i="78"/>
  <c r="C109" i="78" s="1"/>
  <c r="C128" i="78" s="1"/>
  <c r="C106" i="81"/>
  <c r="A13" i="45"/>
  <c r="A13" i="46"/>
  <c r="C109" i="83" l="1"/>
  <c r="C128" i="83" s="1"/>
  <c r="C109" i="81"/>
  <c r="C128" i="81" s="1"/>
  <c r="C106" i="45"/>
  <c r="I13" i="64" l="1"/>
  <c r="I12" i="64"/>
  <c r="I11" i="64"/>
  <c r="I10" i="64"/>
  <c r="I9" i="64"/>
  <c r="I8" i="64"/>
  <c r="I7" i="64"/>
  <c r="I6" i="64"/>
  <c r="I5" i="64"/>
  <c r="D4" i="64"/>
  <c r="I4" i="64" s="1"/>
  <c r="B114" i="45" l="1"/>
  <c r="B114" i="79" s="1"/>
  <c r="B113" i="45"/>
  <c r="B113" i="79" s="1"/>
  <c r="B56" i="45"/>
  <c r="D56" i="45" s="1"/>
  <c r="B7" i="29"/>
  <c r="B8" i="29" s="1"/>
  <c r="B41" i="83" s="1"/>
  <c r="B42" i="83" l="1"/>
  <c r="C41" i="83"/>
  <c r="C42" i="83" s="1"/>
  <c r="C66" i="83" s="1"/>
  <c r="C69" i="83" s="1"/>
  <c r="C125" i="83" s="1"/>
  <c r="C61" i="45"/>
  <c r="G7" i="50" l="1"/>
  <c r="F7" i="50"/>
  <c r="B115" i="46" l="1"/>
  <c r="B115" i="45"/>
  <c r="C109" i="45" l="1"/>
  <c r="C109" i="46"/>
  <c r="B87" i="46"/>
  <c r="B86" i="46"/>
  <c r="B85" i="46"/>
  <c r="B84" i="46"/>
  <c r="B83" i="46"/>
  <c r="B76" i="46"/>
  <c r="B75" i="46"/>
  <c r="B73" i="46"/>
  <c r="B52" i="46"/>
  <c r="B51" i="46"/>
  <c r="B50" i="46"/>
  <c r="B49" i="46"/>
  <c r="B48" i="46"/>
  <c r="B47" i="46"/>
  <c r="B46" i="46"/>
  <c r="B45" i="46"/>
  <c r="B39" i="46"/>
  <c r="B38" i="46"/>
  <c r="C14" i="46"/>
  <c r="B74" i="78" l="1"/>
  <c r="B79" i="78" s="1"/>
  <c r="B74" i="80"/>
  <c r="B74" i="79"/>
  <c r="B74" i="81"/>
  <c r="C27" i="46"/>
  <c r="E56" i="46"/>
  <c r="B40" i="46"/>
  <c r="B74" i="46"/>
  <c r="B53" i="46"/>
  <c r="C26" i="45"/>
  <c r="B87" i="45"/>
  <c r="B86" i="45"/>
  <c r="B85" i="45"/>
  <c r="B84" i="45"/>
  <c r="B83" i="45"/>
  <c r="B76" i="45"/>
  <c r="B75" i="45"/>
  <c r="B73" i="45"/>
  <c r="B52" i="45"/>
  <c r="B51" i="45"/>
  <c r="B50" i="45"/>
  <c r="B49" i="45"/>
  <c r="B48" i="45"/>
  <c r="B47" i="45"/>
  <c r="B46" i="45"/>
  <c r="B45" i="45"/>
  <c r="B39" i="45"/>
  <c r="B38" i="45"/>
  <c r="C14" i="45"/>
  <c r="C100" i="46" l="1"/>
  <c r="C33" i="46"/>
  <c r="B79" i="80"/>
  <c r="C74" i="80"/>
  <c r="C79" i="80" s="1"/>
  <c r="C126" i="80" s="1"/>
  <c r="C74" i="78"/>
  <c r="C79" i="78" s="1"/>
  <c r="C126" i="78" s="1"/>
  <c r="B79" i="81"/>
  <c r="C74" i="81"/>
  <c r="C79" i="81" s="1"/>
  <c r="C126" i="81" s="1"/>
  <c r="C74" i="79"/>
  <c r="C79" i="79" s="1"/>
  <c r="C126" i="79" s="1"/>
  <c r="B79" i="79"/>
  <c r="C56" i="46"/>
  <c r="B40" i="45"/>
  <c r="B66" i="46"/>
  <c r="B53" i="45"/>
  <c r="B78" i="46"/>
  <c r="B74" i="45"/>
  <c r="B78" i="45"/>
  <c r="E56" i="45"/>
  <c r="C56" i="45" s="1"/>
  <c r="C27" i="45"/>
  <c r="E27" i="45" s="1"/>
  <c r="E10" i="43"/>
  <c r="F10" i="43" s="1"/>
  <c r="E14" i="43"/>
  <c r="F14" i="43" s="1"/>
  <c r="E13" i="43"/>
  <c r="F13" i="43" s="1"/>
  <c r="E12" i="43"/>
  <c r="F12" i="43" s="1"/>
  <c r="E11" i="43"/>
  <c r="F11" i="43" s="1"/>
  <c r="E9" i="43"/>
  <c r="F9" i="43" s="1"/>
  <c r="E8" i="43"/>
  <c r="F8" i="43" s="1"/>
  <c r="E7" i="43"/>
  <c r="F7" i="43" s="1"/>
  <c r="E6" i="43"/>
  <c r="F6" i="43" s="1"/>
  <c r="E5" i="43"/>
  <c r="F5" i="43" s="1"/>
  <c r="E4" i="43"/>
  <c r="F4" i="43" s="1"/>
  <c r="E33" i="46" l="1"/>
  <c r="K26" i="89" s="1"/>
  <c r="K30" i="89" s="1"/>
  <c r="K44" i="89" s="1"/>
  <c r="C76" i="46"/>
  <c r="C33" i="45"/>
  <c r="D33" i="45" s="1"/>
  <c r="C48" i="46"/>
  <c r="C124" i="46"/>
  <c r="C38" i="46"/>
  <c r="C84" i="46"/>
  <c r="C78" i="46"/>
  <c r="C52" i="46"/>
  <c r="C75" i="46"/>
  <c r="C47" i="46"/>
  <c r="C88" i="46"/>
  <c r="C45" i="46"/>
  <c r="C95" i="46"/>
  <c r="C85" i="46"/>
  <c r="C49" i="46"/>
  <c r="C39" i="46"/>
  <c r="C73" i="46"/>
  <c r="C86" i="46"/>
  <c r="C87" i="46"/>
  <c r="C46" i="46"/>
  <c r="C51" i="46"/>
  <c r="B66" i="45"/>
  <c r="C83" i="46"/>
  <c r="C50" i="46"/>
  <c r="C74" i="46"/>
  <c r="B89" i="46"/>
  <c r="B89" i="45"/>
  <c r="F15" i="43"/>
  <c r="F16" i="43" s="1"/>
  <c r="K27" i="86" l="1"/>
  <c r="K26" i="86"/>
  <c r="K27" i="92"/>
  <c r="L27" i="92" s="1"/>
  <c r="K26" i="92"/>
  <c r="B67" i="79"/>
  <c r="B69" i="79" s="1"/>
  <c r="B67" i="81"/>
  <c r="B69" i="81" s="1"/>
  <c r="B67" i="80"/>
  <c r="B69" i="80" s="1"/>
  <c r="B67" i="78"/>
  <c r="B69" i="78" s="1"/>
  <c r="B41" i="29"/>
  <c r="C40" i="46"/>
  <c r="C53" i="46"/>
  <c r="C67" i="46" s="1"/>
  <c r="C89" i="46"/>
  <c r="B67" i="46"/>
  <c r="B67" i="45"/>
  <c r="L26" i="92" l="1"/>
  <c r="K32" i="92"/>
  <c r="K46" i="92" s="1"/>
  <c r="B90" i="83"/>
  <c r="C90" i="83" s="1"/>
  <c r="C91" i="83" s="1"/>
  <c r="C99" i="83" s="1"/>
  <c r="C101" i="83" s="1"/>
  <c r="C127" i="83" s="1"/>
  <c r="C129" i="83" s="1"/>
  <c r="C113" i="83" s="1"/>
  <c r="C114" i="83" s="1"/>
  <c r="B42" i="29"/>
  <c r="K32" i="86"/>
  <c r="K46" i="86" s="1"/>
  <c r="B91" i="83"/>
  <c r="C100" i="45"/>
  <c r="C45" i="45"/>
  <c r="B41" i="78"/>
  <c r="B41" i="80"/>
  <c r="B41" i="81"/>
  <c r="B41" i="79"/>
  <c r="B9" i="29"/>
  <c r="B90" i="80"/>
  <c r="B90" i="79"/>
  <c r="B90" i="81"/>
  <c r="B90" i="78"/>
  <c r="B41" i="46"/>
  <c r="B41" i="45"/>
  <c r="B42" i="45" s="1"/>
  <c r="C88" i="45"/>
  <c r="C124" i="45"/>
  <c r="B77" i="46"/>
  <c r="C77" i="46" s="1"/>
  <c r="C79" i="46" s="1"/>
  <c r="C126" i="46" s="1"/>
  <c r="C51" i="45"/>
  <c r="C46" i="45"/>
  <c r="C75" i="45"/>
  <c r="C83" i="45"/>
  <c r="C85" i="45"/>
  <c r="C74" i="45"/>
  <c r="C38" i="45"/>
  <c r="C84" i="45"/>
  <c r="C87" i="45"/>
  <c r="C73" i="45"/>
  <c r="C39" i="45"/>
  <c r="C47" i="45"/>
  <c r="C52" i="45"/>
  <c r="C76" i="45"/>
  <c r="C86" i="45"/>
  <c r="C78" i="45"/>
  <c r="C50" i="45"/>
  <c r="C49" i="45"/>
  <c r="C48" i="45"/>
  <c r="B77" i="45"/>
  <c r="C77" i="45" s="1"/>
  <c r="B90" i="46"/>
  <c r="B90" i="45"/>
  <c r="B43" i="29" l="1"/>
  <c r="C95" i="45"/>
  <c r="B42" i="79"/>
  <c r="C41" i="79"/>
  <c r="C42" i="79" s="1"/>
  <c r="C66" i="79" s="1"/>
  <c r="B42" i="81"/>
  <c r="C41" i="81"/>
  <c r="C42" i="81" s="1"/>
  <c r="C66" i="81" s="1"/>
  <c r="C69" i="81" s="1"/>
  <c r="C125" i="81" s="1"/>
  <c r="B42" i="80"/>
  <c r="C41" i="80"/>
  <c r="C42" i="80" s="1"/>
  <c r="C66" i="80" s="1"/>
  <c r="C69" i="80" s="1"/>
  <c r="C125" i="80" s="1"/>
  <c r="B42" i="78"/>
  <c r="C41" i="78"/>
  <c r="C42" i="78" s="1"/>
  <c r="C66" i="78" s="1"/>
  <c r="C69" i="78" s="1"/>
  <c r="C125" i="78" s="1"/>
  <c r="C90" i="78"/>
  <c r="C91" i="78" s="1"/>
  <c r="C99" i="78" s="1"/>
  <c r="C101" i="78" s="1"/>
  <c r="C127" i="78" s="1"/>
  <c r="B91" i="78"/>
  <c r="B91" i="81"/>
  <c r="C90" i="81"/>
  <c r="C91" i="81" s="1"/>
  <c r="C99" i="81" s="1"/>
  <c r="C101" i="81" s="1"/>
  <c r="C127" i="81" s="1"/>
  <c r="B91" i="79"/>
  <c r="C90" i="79"/>
  <c r="C91" i="79" s="1"/>
  <c r="C99" i="79" s="1"/>
  <c r="C101" i="79" s="1"/>
  <c r="C127" i="79" s="1"/>
  <c r="C90" i="80"/>
  <c r="C91" i="80" s="1"/>
  <c r="C99" i="80" s="1"/>
  <c r="C101" i="80" s="1"/>
  <c r="C127" i="80" s="1"/>
  <c r="B91" i="80"/>
  <c r="C41" i="45"/>
  <c r="B42" i="46"/>
  <c r="C41" i="46"/>
  <c r="C42" i="46" s="1"/>
  <c r="C66" i="46" s="1"/>
  <c r="C53" i="45"/>
  <c r="C67" i="45" s="1"/>
  <c r="C40" i="45"/>
  <c r="C89" i="45"/>
  <c r="C79" i="45"/>
  <c r="C126" i="45" s="1"/>
  <c r="B79" i="46"/>
  <c r="B79" i="45"/>
  <c r="C90" i="45"/>
  <c r="B91" i="45"/>
  <c r="B91" i="46"/>
  <c r="C90" i="46"/>
  <c r="C42" i="45" l="1"/>
  <c r="C129" i="81"/>
  <c r="C113" i="81" s="1"/>
  <c r="C114" i="81" s="1"/>
  <c r="C129" i="78"/>
  <c r="C113" i="78" s="1"/>
  <c r="C114" i="78" s="1"/>
  <c r="C129" i="80"/>
  <c r="C113" i="80" s="1"/>
  <c r="C114" i="80" s="1"/>
  <c r="C91" i="45"/>
  <c r="C99" i="45" s="1"/>
  <c r="C66" i="45"/>
  <c r="C91" i="46"/>
  <c r="C99" i="46" s="1"/>
  <c r="C128" i="46" l="1"/>
  <c r="C101" i="46"/>
  <c r="C127" i="46" s="1"/>
  <c r="C101" i="45"/>
  <c r="C127" i="45" s="1"/>
  <c r="C128" i="45" l="1"/>
  <c r="B69" i="46" l="1"/>
  <c r="B69" i="45"/>
  <c r="B99" i="83" l="1"/>
  <c r="B101" i="83" s="1"/>
  <c r="B99" i="80"/>
  <c r="B101" i="80" s="1"/>
  <c r="B99" i="79"/>
  <c r="B101" i="79" s="1"/>
  <c r="B99" i="78"/>
  <c r="B101" i="78" s="1"/>
  <c r="B99" i="81"/>
  <c r="B101" i="81" s="1"/>
  <c r="B99" i="46"/>
  <c r="B101" i="46" s="1"/>
  <c r="B99" i="45"/>
  <c r="B101" i="45" s="1"/>
  <c r="J3" i="50" l="1"/>
  <c r="K3" i="50" s="1"/>
  <c r="J4" i="50"/>
  <c r="K4" i="50" s="1"/>
  <c r="J5" i="50"/>
  <c r="K5" i="50" s="1"/>
  <c r="J6" i="50"/>
  <c r="K6" i="50" s="1"/>
  <c r="K7" i="50" l="1"/>
  <c r="J7" i="50"/>
  <c r="H6" i="50"/>
  <c r="M6" i="50" s="1"/>
  <c r="O6" i="50" s="1"/>
  <c r="H5" i="50"/>
  <c r="M5" i="50" s="1"/>
  <c r="O5" i="50" s="1"/>
  <c r="C57" i="46" l="1"/>
  <c r="C62" i="46" s="1"/>
  <c r="C68" i="46" s="1"/>
  <c r="C69" i="46" s="1"/>
  <c r="C125" i="46" s="1"/>
  <c r="C129" i="46" l="1"/>
  <c r="B57" i="45"/>
  <c r="B57" i="79" s="1"/>
  <c r="C57" i="79" s="1"/>
  <c r="C62" i="79" s="1"/>
  <c r="C68" i="79" s="1"/>
  <c r="C69" i="79" s="1"/>
  <c r="C125" i="79" s="1"/>
  <c r="C129" i="79" s="1"/>
  <c r="C113" i="79" s="1"/>
  <c r="C114" i="79" s="1"/>
  <c r="C57" i="45" l="1"/>
  <c r="C62" i="45" s="1"/>
  <c r="C68" i="45" s="1"/>
  <c r="C69" i="45" s="1"/>
  <c r="C125" i="45" s="1"/>
  <c r="C113" i="46"/>
  <c r="C114" i="46" s="1"/>
  <c r="C129" i="45" l="1"/>
  <c r="C113" i="45" l="1"/>
  <c r="C114" i="45" s="1"/>
  <c r="H20" i="84"/>
  <c r="I20" i="84" s="1"/>
  <c r="H21" i="84"/>
  <c r="I21" i="84" s="1"/>
  <c r="J21" i="84" s="1"/>
  <c r="K21" i="84" s="1"/>
  <c r="H22" i="84"/>
  <c r="I22" i="84" s="1"/>
  <c r="J22" i="84" s="1"/>
  <c r="K22" i="84" s="1"/>
  <c r="H23" i="84"/>
  <c r="I23" i="84" s="1"/>
  <c r="J23" i="84" s="1"/>
  <c r="K23" i="84" s="1"/>
  <c r="J20" i="84" l="1"/>
  <c r="H24" i="84"/>
  <c r="I24" i="84" s="1"/>
  <c r="J24" i="84" s="1"/>
  <c r="K24" i="84" s="1"/>
  <c r="K20" i="84" l="1"/>
  <c r="H26" i="84"/>
  <c r="L25" i="86"/>
  <c r="L26" i="86"/>
  <c r="L27" i="86"/>
  <c r="L28" i="86"/>
  <c r="L29" i="86"/>
  <c r="L30" i="86"/>
  <c r="L31" i="86"/>
  <c r="I26" i="84" l="1"/>
  <c r="J26" i="84" l="1"/>
  <c r="J27" i="84" s="1"/>
  <c r="J34" i="84" s="1"/>
  <c r="L34" i="84" s="1"/>
  <c r="I27" i="84"/>
  <c r="J29" i="84" s="1"/>
  <c r="K26" i="84" l="1"/>
  <c r="B6" i="91"/>
  <c r="B8" i="91" s="1"/>
  <c r="G66" i="76"/>
  <c r="G68" i="76"/>
  <c r="G67" i="76"/>
  <c r="G69" i="76"/>
  <c r="C115" i="78"/>
  <c r="C116" i="78"/>
  <c r="C118" i="78"/>
  <c r="C120" i="78"/>
  <c r="C130" i="78"/>
  <c r="C131" i="78"/>
  <c r="E131" i="78"/>
  <c r="C133" i="78"/>
  <c r="C115" i="46"/>
  <c r="C116" i="46"/>
  <c r="C118" i="46"/>
  <c r="C120" i="46"/>
  <c r="C130" i="46"/>
  <c r="C131" i="46"/>
  <c r="D131" i="46"/>
  <c r="C133" i="46"/>
  <c r="C115" i="45"/>
  <c r="C116" i="45"/>
  <c r="C118" i="45"/>
  <c r="C120" i="45"/>
  <c r="C130" i="45"/>
  <c r="C131" i="45"/>
  <c r="D131" i="45"/>
  <c r="C133" i="45"/>
  <c r="C115" i="79"/>
  <c r="C116" i="79"/>
  <c r="C118" i="79"/>
  <c r="C120" i="79"/>
  <c r="C130" i="79"/>
  <c r="C131" i="79"/>
  <c r="D131" i="79"/>
  <c r="C133" i="79"/>
  <c r="C115" i="80"/>
  <c r="C116" i="80"/>
  <c r="C118" i="80"/>
  <c r="C120" i="80"/>
  <c r="C130" i="80"/>
  <c r="C131" i="80"/>
  <c r="D131" i="80"/>
  <c r="C133" i="80"/>
  <c r="C115" i="81"/>
  <c r="C116" i="81"/>
  <c r="C118" i="81"/>
  <c r="C120" i="81"/>
  <c r="C130" i="81"/>
  <c r="C131" i="81"/>
  <c r="D131" i="81"/>
  <c r="C133" i="81"/>
  <c r="E106" i="83"/>
  <c r="C115" i="83"/>
  <c r="C116" i="83"/>
  <c r="C118" i="83"/>
  <c r="C120" i="83"/>
  <c r="C130" i="83"/>
  <c r="C131" i="83"/>
  <c r="D131" i="83"/>
  <c r="C133" i="83"/>
  <c r="G4" i="90"/>
  <c r="H4" i="90"/>
  <c r="I4" i="90"/>
  <c r="G5" i="90"/>
  <c r="H5" i="90"/>
  <c r="I5" i="90"/>
  <c r="I6" i="90"/>
  <c r="G25" i="89"/>
  <c r="H25" i="89"/>
  <c r="I25" i="89"/>
  <c r="J25" i="89"/>
  <c r="G26" i="89"/>
  <c r="H26" i="89"/>
  <c r="I26" i="89"/>
  <c r="J26" i="89"/>
  <c r="G27" i="89"/>
  <c r="H27" i="89"/>
  <c r="I27" i="89"/>
  <c r="J27" i="89"/>
  <c r="G28" i="89"/>
  <c r="H28" i="89"/>
  <c r="I28" i="89"/>
  <c r="J28" i="89"/>
  <c r="G29" i="89"/>
  <c r="H29" i="89"/>
  <c r="I29" i="89"/>
  <c r="J29" i="89"/>
  <c r="I30" i="89"/>
  <c r="J30" i="89"/>
  <c r="J32" i="89"/>
  <c r="J37" i="89"/>
  <c r="K40" i="89"/>
  <c r="K41" i="89"/>
  <c r="K42" i="89"/>
  <c r="K43" i="89"/>
  <c r="K45" i="89"/>
  <c r="C5" i="91"/>
  <c r="D5" i="91"/>
  <c r="C6" i="91"/>
  <c r="D6" i="91"/>
  <c r="C7" i="91"/>
  <c r="D7" i="91"/>
  <c r="C8" i="91"/>
  <c r="D8" i="91"/>
  <c r="D9" i="91"/>
  <c r="M10" i="91"/>
  <c r="M11" i="91"/>
  <c r="G25" i="87"/>
  <c r="H25" i="87"/>
  <c r="I25" i="87"/>
  <c r="J25" i="87"/>
  <c r="G26" i="87"/>
  <c r="H26" i="87"/>
  <c r="I26" i="87"/>
  <c r="J26" i="87"/>
  <c r="I27" i="87"/>
  <c r="J27" i="87"/>
  <c r="J29" i="87"/>
  <c r="J34" i="87"/>
  <c r="K37" i="87"/>
  <c r="K38" i="87"/>
  <c r="K39" i="87"/>
  <c r="K40" i="87"/>
  <c r="K42" i="87"/>
  <c r="G25" i="86"/>
  <c r="H25" i="86"/>
  <c r="I25" i="86"/>
  <c r="J25" i="86"/>
  <c r="G26" i="86"/>
  <c r="H26" i="86"/>
  <c r="I26" i="86"/>
  <c r="J26" i="86"/>
  <c r="G27" i="86"/>
  <c r="H27" i="86"/>
  <c r="I27" i="86"/>
  <c r="J27" i="86"/>
  <c r="G28" i="86"/>
  <c r="H28" i="86"/>
  <c r="I28" i="86"/>
  <c r="J28" i="86"/>
  <c r="G29" i="86"/>
  <c r="H29" i="86"/>
  <c r="I29" i="86"/>
  <c r="J29" i="86"/>
  <c r="G30" i="86"/>
  <c r="H30" i="86"/>
  <c r="I30" i="86"/>
  <c r="J30" i="86"/>
  <c r="G31" i="86"/>
  <c r="H31" i="86"/>
  <c r="I31" i="86"/>
  <c r="J31" i="86"/>
  <c r="I32" i="86"/>
  <c r="J32" i="86"/>
  <c r="J34" i="86"/>
  <c r="J39" i="86"/>
  <c r="K42" i="86"/>
  <c r="K43" i="86"/>
  <c r="K44" i="86"/>
  <c r="K45" i="86"/>
  <c r="K47" i="86"/>
  <c r="G25" i="92"/>
  <c r="H25" i="92"/>
  <c r="I25" i="92"/>
  <c r="J25" i="92"/>
  <c r="G26" i="92"/>
  <c r="H26" i="92"/>
  <c r="I26" i="92"/>
  <c r="J26" i="92"/>
  <c r="G27" i="92"/>
  <c r="H27" i="92"/>
  <c r="I27" i="92"/>
  <c r="J27" i="92"/>
  <c r="G28" i="92"/>
  <c r="H28" i="92"/>
  <c r="I28" i="92"/>
  <c r="J28" i="92"/>
  <c r="G29" i="92"/>
  <c r="H29" i="92"/>
  <c r="I29" i="92"/>
  <c r="J29" i="92"/>
  <c r="G30" i="92"/>
  <c r="H30" i="92"/>
  <c r="I30" i="92"/>
  <c r="J30" i="92"/>
  <c r="G31" i="92"/>
  <c r="H31" i="92"/>
  <c r="I31" i="92"/>
  <c r="J31" i="92"/>
  <c r="I32" i="92"/>
  <c r="J32" i="92"/>
  <c r="J34" i="92"/>
  <c r="J39" i="92"/>
  <c r="K42" i="92"/>
  <c r="K43" i="92"/>
  <c r="K44" i="92"/>
  <c r="K45" i="92"/>
  <c r="K47" i="92"/>
  <c r="G25" i="93"/>
  <c r="H25" i="93"/>
  <c r="I25" i="93"/>
  <c r="G26" i="93"/>
  <c r="H26" i="93"/>
  <c r="I26" i="93"/>
  <c r="G27" i="93"/>
  <c r="H27" i="93"/>
  <c r="I27" i="93"/>
  <c r="G28" i="93"/>
  <c r="H28" i="93"/>
  <c r="I28" i="93"/>
  <c r="G29" i="93"/>
  <c r="H29" i="93"/>
  <c r="I29" i="93"/>
  <c r="G30" i="93"/>
  <c r="H30" i="93"/>
  <c r="I30" i="93"/>
  <c r="G31" i="93"/>
  <c r="H31" i="93"/>
  <c r="I31" i="93"/>
  <c r="I32" i="93"/>
  <c r="H3" i="50"/>
  <c r="M3" i="50"/>
  <c r="O3" i="50"/>
  <c r="H4" i="50"/>
  <c r="M4" i="50"/>
  <c r="O4" i="50"/>
  <c r="M7" i="50"/>
  <c r="O7" i="50"/>
  <c r="G25" i="76"/>
  <c r="H25" i="76"/>
  <c r="I25" i="76"/>
  <c r="J25" i="76"/>
  <c r="K25" i="76"/>
  <c r="M25" i="76"/>
  <c r="G26" i="76"/>
  <c r="H26" i="76"/>
  <c r="I26" i="76"/>
  <c r="J26" i="76"/>
  <c r="K26" i="76"/>
  <c r="M26" i="76"/>
  <c r="G27" i="76"/>
  <c r="H27" i="76"/>
  <c r="I27" i="76"/>
  <c r="J27" i="76"/>
  <c r="K27" i="76"/>
  <c r="M27" i="76"/>
  <c r="G28" i="76"/>
  <c r="H28" i="76"/>
  <c r="I28" i="76"/>
  <c r="J28" i="76"/>
  <c r="K28" i="76"/>
  <c r="M28" i="76"/>
  <c r="G29" i="76"/>
  <c r="H29" i="76"/>
  <c r="I29" i="76"/>
  <c r="J29" i="76"/>
  <c r="K29" i="76"/>
  <c r="M29" i="76"/>
  <c r="G30" i="76"/>
  <c r="H30" i="76"/>
  <c r="I30" i="76"/>
  <c r="J30" i="76"/>
  <c r="K30" i="76"/>
  <c r="M30" i="76"/>
  <c r="G31" i="76"/>
  <c r="H31" i="76"/>
  <c r="I31" i="76"/>
  <c r="J31" i="76"/>
  <c r="K31" i="76"/>
  <c r="M31" i="76"/>
  <c r="J32" i="76"/>
  <c r="K32" i="76"/>
  <c r="K34" i="76"/>
  <c r="K39" i="76"/>
  <c r="G20" i="85"/>
  <c r="H20" i="85"/>
  <c r="I20" i="85"/>
  <c r="J20" i="85"/>
  <c r="K20" i="85"/>
  <c r="G21" i="85"/>
  <c r="H21" i="85"/>
  <c r="I21" i="85"/>
  <c r="J21" i="85"/>
  <c r="K21" i="85"/>
  <c r="G22" i="85"/>
  <c r="H22" i="85"/>
  <c r="I22" i="85"/>
  <c r="J22" i="85"/>
  <c r="K22" i="85"/>
  <c r="G23" i="85"/>
  <c r="H23" i="85"/>
  <c r="I23" i="85"/>
  <c r="J23" i="85"/>
  <c r="K23" i="85"/>
  <c r="G24" i="85"/>
  <c r="H24" i="85"/>
  <c r="I24" i="85"/>
  <c r="J24" i="85"/>
  <c r="K24" i="85"/>
  <c r="G25" i="85"/>
  <c r="H25" i="85"/>
  <c r="I25" i="85"/>
  <c r="J25" i="85"/>
  <c r="K25" i="85"/>
  <c r="G26" i="85"/>
  <c r="H26" i="85"/>
  <c r="I26" i="85"/>
  <c r="J26" i="85"/>
  <c r="K26" i="85"/>
  <c r="I27" i="85"/>
  <c r="J27" i="85"/>
  <c r="J29" i="85"/>
  <c r="J34" i="85"/>
  <c r="L34" i="85"/>
</calcChain>
</file>

<file path=xl/sharedStrings.xml><?xml version="1.0" encoding="utf-8"?>
<sst xmlns="http://schemas.openxmlformats.org/spreadsheetml/2006/main" count="1841" uniqueCount="380">
  <si>
    <t>TOTAL</t>
  </si>
  <si>
    <t>Brasília/DF</t>
  </si>
  <si>
    <t>Tipo de serviço (mesmo serviço com características distintas)</t>
  </si>
  <si>
    <t>MÓDULO 1: COMPOSIÇÃO DA REMUNERAÇÃO</t>
  </si>
  <si>
    <t xml:space="preserve">1 - Composição da Remuneração 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</si>
  <si>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</si>
  <si>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</si>
  <si>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</si>
  <si>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</si>
  <si>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</si>
  <si>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</si>
  <si>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>TOTAL DA REMUNERAÇÃO</t>
  </si>
  <si>
    <t xml:space="preserve">    C - Assistência médica e familiar </t>
  </si>
  <si>
    <t xml:space="preserve">    A - Uniformes</t>
  </si>
  <si>
    <t>TOTAL DOS INSUMOS DIVERSOS</t>
  </si>
  <si>
    <t xml:space="preserve">    A - INSS</t>
  </si>
  <si>
    <t xml:space="preserve">    A - Aviso prévio indenizado </t>
  </si>
  <si>
    <t xml:space="preserve">    B - Incidência do FGTS sobre aviso prévio indenizado</t>
  </si>
  <si>
    <t>Total de provisão para Rescisão</t>
  </si>
  <si>
    <t>Módulo 4 - Encargos sociais e trabalhistas</t>
  </si>
  <si>
    <t xml:space="preserve">    A - Custos Indiretos</t>
  </si>
  <si>
    <t xml:space="preserve">    B - Lucro</t>
  </si>
  <si>
    <t xml:space="preserve">    C - Tributos</t>
  </si>
  <si>
    <t xml:space="preserve">        C.2 - Tributos Estaduais (especificar)</t>
  </si>
  <si>
    <t xml:space="preserve">        C.3 - Tributos Municipais (ISS)</t>
  </si>
  <si>
    <t xml:space="preserve">        C.4 - Outros Tributos (especificar)</t>
  </si>
  <si>
    <t>TOTAL DOS CUSTOS INDIRETOS, TRIBUTOS E LUCRO</t>
  </si>
  <si>
    <t>QUADRO RESUMO DO CUSTO POR EMPREGADO</t>
  </si>
  <si>
    <t>Mão-de-obra vinculada à execução contratual (valor por empregado)</t>
  </si>
  <si>
    <t xml:space="preserve">    A - Módulo 1 - Composição da Remuneração</t>
  </si>
  <si>
    <t>VALOR TOTAL POR EMPREGADO</t>
  </si>
  <si>
    <t>Lucro Real</t>
  </si>
  <si>
    <t xml:space="preserve">    A - Transporte </t>
  </si>
  <si>
    <t>MÓDULO 2: ENCARGOS E BENEFÍCIOS ANUAIS, MENSAIS E DIÁRIOS</t>
  </si>
  <si>
    <t>Submódulo 2.1 - 13º (décimo-terceiro) Salário, Férias e Adicional de Férias</t>
  </si>
  <si>
    <t>Submódulo 2.3 - Benefícios Mensais e Diários</t>
  </si>
  <si>
    <t>QUADRO RESUMO - MÓDULO 2 - Encargos e Benefícios anuais, mensais e diários</t>
  </si>
  <si>
    <t xml:space="preserve">    2.1 - 13º (décimo-terceiro) Salário, Férias e Adicional de Férias</t>
  </si>
  <si>
    <t xml:space="preserve">    2.3 - Benefícios Mensais e diários</t>
  </si>
  <si>
    <t>MÓDULO 3: PROVISÃO PARA RESCISÃO</t>
  </si>
  <si>
    <t>3.1 - Provisão para Rescisão</t>
  </si>
  <si>
    <t>MÓDULO 4:  CUSTO DE REPOSIÇÃO DO PROFISSIONAL AUSENTE</t>
  </si>
  <si>
    <t>Submodulo 4.1 - Ausências Legais</t>
  </si>
  <si>
    <t>Submodulo 4.2 - Intrajornada</t>
  </si>
  <si>
    <t xml:space="preserve">    A - Intervalo para repouso ou alimentação</t>
  </si>
  <si>
    <t>QUADRO RESUMO - MÓDULO 4 - Custo de Reposição do profissional Ausente</t>
  </si>
  <si>
    <t xml:space="preserve">    4.1 - Ausências Legais</t>
  </si>
  <si>
    <t xml:space="preserve">    4.2 - Intrajornada</t>
  </si>
  <si>
    <t xml:space="preserve">TOTAL </t>
  </si>
  <si>
    <t>MÓDULO 5:  INSUMOS DIVERSOS</t>
  </si>
  <si>
    <t>5 - Insumos Diversos</t>
  </si>
  <si>
    <t>MÓDULO 6 - CUSTOS INDIRETOS, TRIBUTOS E LUCRO</t>
  </si>
  <si>
    <t>6 - Custos Indiretos, Tributos e Lucro</t>
  </si>
  <si>
    <t xml:space="preserve">    B - Módulo 2 - Encargos e Benefícios Anuais, Mensais e Diários</t>
  </si>
  <si>
    <t xml:space="preserve">    C - Módulo 3 - Provisão para Rescisão</t>
  </si>
  <si>
    <t xml:space="preserve">    D - Módulo 4 - Custo de Reposição do Profissional Ausente</t>
  </si>
  <si>
    <t xml:space="preserve">    E - Módulo 5 - Insumos Diversos</t>
  </si>
  <si>
    <t xml:space="preserve">    F - Módulo 6 - Custos Indiretos, Tributos e Lucro</t>
  </si>
  <si>
    <t>SUBTOTAL (A+B+C+D+E)</t>
  </si>
  <si>
    <t xml:space="preserve">    B - Férias e Adicional de Férias</t>
  </si>
  <si>
    <t xml:space="preserve">    F - Adicional de Hora Extra no Feriado Trabalhado</t>
  </si>
  <si>
    <t xml:space="preserve">    A - 13º (décimo terceiro) salário</t>
  </si>
  <si>
    <t>Submódulo 2.2 - Encargos Previdenciários (GPS) , Fundo de Garantia por Tempo de Serviço (FGTS) e Outras Contribuições</t>
  </si>
  <si>
    <t xml:space="preserve">    B - Salário Educação</t>
  </si>
  <si>
    <t xml:space="preserve">    D - SESC ou SESI</t>
  </si>
  <si>
    <t xml:space="preserve">    E - SENAI ou SENAC</t>
  </si>
  <si>
    <t xml:space="preserve">    F - SEBRAE</t>
  </si>
  <si>
    <t xml:space="preserve">    G - INCRA</t>
  </si>
  <si>
    <t xml:space="preserve">    H - FGTS</t>
  </si>
  <si>
    <t>SUBTOTAL</t>
  </si>
  <si>
    <t>Item</t>
  </si>
  <si>
    <t>VALOR TOTAL DO POSTO</t>
  </si>
  <si>
    <t xml:space="preserve">    G - Adicional de Intrajornada</t>
  </si>
  <si>
    <t xml:space="preserve">    C - Seguro Acidente do Trabalho/SAT/INSS (3 X 0,50)</t>
  </si>
  <si>
    <t>Módulo 2 - Encargos e Benefícios anuais, mensais e diários</t>
  </si>
  <si>
    <t>MEMÓRIA DE CÁLCULOS ENCARGOS SOCIAIS</t>
  </si>
  <si>
    <t>TOTAL GERAL ENCARGOS SOCIAIS</t>
  </si>
  <si>
    <t>SUB TOTAL</t>
  </si>
  <si>
    <t xml:space="preserve">    E - Incidência Submódulo 2.2 sobre Aviso Prévio Trabalhado</t>
  </si>
  <si>
    <t xml:space="preserve">    D - Assistência Odontológica</t>
  </si>
  <si>
    <t xml:space="preserve">    E - Fundo de Indenização decorrente de aposentadoria</t>
  </si>
  <si>
    <t>Planilha Resumo - Composição Global da Contratação</t>
  </si>
  <si>
    <t>TURNO</t>
  </si>
  <si>
    <t>QTDE DE POSTOS</t>
  </si>
  <si>
    <t>Noturno</t>
  </si>
  <si>
    <t>Diurno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</si>
  <si>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</si>
  <si>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</si>
  <si>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</si>
  <si>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</si>
  <si>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Número de meses de execução contratual</t>
  </si>
  <si>
    <t>12</t>
  </si>
  <si>
    <t>IDENTIFICAÇÃO DO SERVIÇO</t>
  </si>
  <si>
    <t>Unidade
 de 
Medida</t>
  </si>
  <si>
    <t xml:space="preserve">Quantidade total a contratar (Em função da unidade de medida) </t>
  </si>
  <si>
    <t>posto</t>
  </si>
  <si>
    <t>TOTAL DE POSTOS</t>
  </si>
  <si>
    <t>Nota 1: Esta tabela poderá ser adaptada às características da empresa a ofertar o serviço, de acordo com a sua conveniência e oprtunidade, ressalvados as rubricas que obedecem aos normativos legais.</t>
  </si>
  <si>
    <t xml:space="preserve">Tipo de serviço:                                                                               </t>
  </si>
  <si>
    <t>1 - MÓDULOS</t>
  </si>
  <si>
    <t>MÃO DE OBRA VINCULADA A EXECUÇÃO CONTRATUAL</t>
  </si>
  <si>
    <t>Vigilância Armada</t>
  </si>
  <si>
    <t>Classificação Brasileira de Ocupações (CBO)</t>
  </si>
  <si>
    <t>Salário Normativo da Categoria</t>
  </si>
  <si>
    <t>Categoria Profissional (vinculada a execução contratual)</t>
  </si>
  <si>
    <t>Data-Base da Categoria (dia/mês/ano)</t>
  </si>
  <si>
    <t>Vigilante</t>
  </si>
  <si>
    <r>
      <t xml:space="preserve">PLANILHA DE CUSTOS E FORMAÇÃO DE PREÇOS </t>
    </r>
    <r>
      <rPr>
        <b/>
        <sz val="10"/>
        <color indexed="20"/>
        <rFont val="Verdana"/>
        <family val="2"/>
      </rPr>
      <t xml:space="preserve"> </t>
    </r>
  </si>
  <si>
    <t xml:space="preserve">    A – Férias</t>
  </si>
  <si>
    <t xml:space="preserve">    B – Ausências legais</t>
  </si>
  <si>
    <t xml:space="preserve">    C - Licença paternidade </t>
  </si>
  <si>
    <r>
      <t xml:space="preserve">    </t>
    </r>
    <r>
      <rPr>
        <sz val="10"/>
        <color indexed="8"/>
        <rFont val="Verdana"/>
        <family val="2"/>
      </rPr>
      <t>D - Ausência por Acidente de Trabalho</t>
    </r>
  </si>
  <si>
    <t xml:space="preserve">    E - Afastamento Maternidade</t>
  </si>
  <si>
    <t xml:space="preserve">    G - Incidência do Incidência do Grupo "A" Reposição do Profissional Ausente</t>
  </si>
  <si>
    <t>Nota 1:  Deverá ser elaborado um quadro para cada tipo de serviço.
Nota 2: A planilha será calculada considerando o valor mensal do empregado</t>
  </si>
  <si>
    <t>Nota1:  O Módulo 1 refere-se ao valor mensal devido ao empregado pela prestação do serviço no período de 12 meses.
Nota 2:  Para o empregado que labora jornada de 12x36, em caso de não concessão ou concessão parcial do intervalo intrajornada (§ 4º do art. 71 da CLT), o valor a ser pago será inserido na remuneração utilizando a alínea “G”.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</si>
  <si>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</si>
  <si>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 Módulo 3, o Módulo 4 e o Módulo 6.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</si>
  <si>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</si>
  <si>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</si>
  <si>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        C.1 - Tributos Federais </t>
  </si>
  <si>
    <t>Valor Total</t>
  </si>
  <si>
    <t>Total do Conjunto</t>
  </si>
  <si>
    <t>Qtde de vigilantes por posto</t>
  </si>
  <si>
    <t xml:space="preserve">    E - Seguro de vida</t>
  </si>
  <si>
    <t>GRUPO</t>
  </si>
  <si>
    <t>ITEM</t>
  </si>
  <si>
    <t>DESCRIÇÃO DO POSTO DE TRABALHO</t>
  </si>
  <si>
    <t>QTDE DE PESSOAS</t>
  </si>
  <si>
    <t>VALOR UNITÁRIO DO POSTO</t>
  </si>
  <si>
    <t>VALOR MENSAL DOS SERVIÇOS</t>
  </si>
  <si>
    <t>VALOR ANUAL DOS SERVIÇOS</t>
  </si>
  <si>
    <t xml:space="preserve">    2.2 - GPS, FGTS e outras contribuições</t>
  </si>
  <si>
    <t>Descrição</t>
  </si>
  <si>
    <t>Carregador para pilhas recarregáveis</t>
  </si>
  <si>
    <t>Qtde</t>
  </si>
  <si>
    <t>Valor Unitário</t>
  </si>
  <si>
    <t xml:space="preserve">    G - Incidência do Submódulo 2.2 sobre Custo de Reposição sobre o Profissional Ausente</t>
  </si>
  <si>
    <t>HORAS</t>
  </si>
  <si>
    <t>Lanterna tática de alumínio, LED, no mínimo 190 (cento e noventa) Lumens e pilhas recarregáveis.</t>
  </si>
  <si>
    <t>Pilhas recarregáveis para lanterna AAA</t>
  </si>
  <si>
    <t>Cassetete tipo tonfa em polímero ou material similar (vedado o de madeira), em dimensões adequadas ao posto.</t>
  </si>
  <si>
    <t>Porta cassetete</t>
  </si>
  <si>
    <t>Apito de metal com cordão</t>
  </si>
  <si>
    <t>Rádio/Tranceptor HT portátil com caneleta de comunicação comum e reservada, sintonizado em frequência da empreas, funcionando 24 (vinte e quatro) horas (o aparelho utilizado no Posto de vigilância de 12 (doze) horas diurna será o mesmo utilizado no Posto de 12 (doze) horas noturna.</t>
  </si>
  <si>
    <t>Bateriais reserva para Rádio HT com o carregador</t>
  </si>
  <si>
    <t>Suspensário para suporte de rádio HT</t>
  </si>
  <si>
    <t>Crachá de identificação em pvc</t>
  </si>
  <si>
    <t>Livro de ocorrências com emblema da CONTRATADA e caneta esferográfica. Observação a contratada deverá fornecer aos profissionais dos Postos de Vigilância, sempre que necessários.</t>
  </si>
  <si>
    <t>MATERIAIS</t>
  </si>
  <si>
    <t>5173-30</t>
  </si>
  <si>
    <t xml:space="preserve">    C - Multa do FGTS sobre aviso prévio indenizado</t>
  </si>
  <si>
    <t xml:space="preserve">    D - Aviso Prévio Trabalhado</t>
  </si>
  <si>
    <t xml:space="preserve">    E - Incidência dos encargos do submódulo 2.2 sobre o Aviso Prévio Trabalhado</t>
  </si>
  <si>
    <t xml:space="preserve">    F - Multa do FGTS e contribuição social sobre o Aviso Prévio Trabalhado e Indenizado</t>
  </si>
  <si>
    <t>MENSAL</t>
  </si>
  <si>
    <t>ANUAL</t>
  </si>
  <si>
    <t>VALOR UNITÁRIO DO HOMEN</t>
  </si>
  <si>
    <t>LANCE DO ITEM</t>
  </si>
  <si>
    <t>12 x 36hs de segunda a domingo</t>
  </si>
  <si>
    <t xml:space="preserve">12x36 de segunda a domingo </t>
  </si>
  <si>
    <t>44horas semanais diuno CFTV</t>
  </si>
  <si>
    <t xml:space="preserve">44horas semanais diuno </t>
  </si>
  <si>
    <t xml:space="preserve">Vigilante </t>
  </si>
  <si>
    <t xml:space="preserve">    F - Substituto na Cobertura das Ausências por Doença</t>
  </si>
  <si>
    <t xml:space="preserve">    B - Auxílio-Refeição/Alimentação</t>
  </si>
  <si>
    <t xml:space="preserve">    B - Auxílio-Refeição/Alimentação  </t>
  </si>
  <si>
    <t>2.1 - 13º Salário</t>
  </si>
  <si>
    <t xml:space="preserve">   C - Incidência do submódulo 2.2 sobre 2.1</t>
  </si>
  <si>
    <t>Subtotal</t>
  </si>
  <si>
    <t xml:space="preserve">    C - Incidência Submódulo 2.2 sobre 2.1</t>
  </si>
  <si>
    <t>POSTO</t>
  </si>
  <si>
    <t>LOCAL DO POSTO</t>
  </si>
  <si>
    <t>QNTD. DE POSTOS</t>
  </si>
  <si>
    <t>DE TRABALHO</t>
  </si>
  <si>
    <t>QNTD. DE VIGILANTES POR POSTOS</t>
  </si>
  <si>
    <t>Guarita de entrada principal da Imprensa Nacional</t>
  </si>
  <si>
    <t>Guarita de entrada Sudoeste</t>
  </si>
  <si>
    <t>Guarita da creche</t>
  </si>
  <si>
    <t>Guarita da caixa d’água</t>
  </si>
  <si>
    <t>Posto carpintaria/Arquivo Nacional externo</t>
  </si>
  <si>
    <t>Posto Auditório/Museu</t>
  </si>
  <si>
    <t>Posto estacionamento principal</t>
  </si>
  <si>
    <t>Posto ronda externa</t>
  </si>
  <si>
    <t>Portaria principal</t>
  </si>
  <si>
    <t>Posto garagem subsolo</t>
  </si>
  <si>
    <t>Posto entrada área gráfica</t>
  </si>
  <si>
    <t>Posto área gráfica/Arquivo Nacional</t>
  </si>
  <si>
    <t>Posto COGEP/restaurante</t>
  </si>
  <si>
    <t>Posto ronda interna</t>
  </si>
  <si>
    <t>Supervisores</t>
  </si>
  <si>
    <t>QUANTIDADE DE POSTOS E DE VIGILANTES</t>
  </si>
  <si>
    <t>Efetivo Postos</t>
  </si>
  <si>
    <t>DADOS DO REPRESENTANTE LEGAL PARA ASSINATURA DO CONTRATO:</t>
  </si>
  <si>
    <r>
      <t xml:space="preserve">ESTADO CIVIL: </t>
    </r>
    <r>
      <rPr>
        <sz val="12"/>
        <rFont val="Arial Narrow"/>
        <family val="2"/>
      </rPr>
      <t>CASADO</t>
    </r>
  </si>
  <si>
    <r>
      <t xml:space="preserve">NATURALIDADE: </t>
    </r>
    <r>
      <rPr>
        <sz val="12"/>
        <rFont val="Arial Narrow"/>
        <family val="2"/>
      </rPr>
      <t>BRASÍLIA</t>
    </r>
  </si>
  <si>
    <t>QUADRO RESUMO DOS SERVIÇOS</t>
  </si>
  <si>
    <t>Valor Mensal dos Serviços (I+II+N)</t>
  </si>
  <si>
    <t>Categoria</t>
  </si>
  <si>
    <t>Valor Mensal</t>
  </si>
  <si>
    <t>Valor Anual</t>
  </si>
  <si>
    <t>Vigilante 44h Armado (com custo intrajornada)</t>
  </si>
  <si>
    <t>Vigilante 44h Desarmado (com custo intrajornada)</t>
  </si>
  <si>
    <t>Vigilante 12x36h Diurno Armado (com custo intrajornada)</t>
  </si>
  <si>
    <t>Vigilante 12x36h Diurno Armado</t>
  </si>
  <si>
    <t>Vigilante 12x36h Diurno Desarmado (com custo intrajornada)</t>
  </si>
  <si>
    <t>Vigilante 12x36h Diurno Desarmado</t>
  </si>
  <si>
    <t>Vigilante 12x36h Noturno Armado</t>
  </si>
  <si>
    <t>Vigilante 12x36h Noturno Desarmado</t>
  </si>
  <si>
    <t>Supervisor (a) Diurno (com custo intrajornada)</t>
  </si>
  <si>
    <t>Supervisor (a) Noturno (com custo intrajornada)</t>
  </si>
  <si>
    <t>VALOR TOTAL DO CONTRATO</t>
  </si>
  <si>
    <t xml:space="preserve">    D - Materiais</t>
  </si>
  <si>
    <t>Fator k Edital</t>
  </si>
  <si>
    <t>Fator k Correto</t>
  </si>
  <si>
    <t>Valor da Remuneração</t>
  </si>
  <si>
    <t xml:space="preserve">Nº do processo: </t>
  </si>
  <si>
    <t xml:space="preserve">Licitação nº: </t>
  </si>
  <si>
    <t xml:space="preserve">    B - Equipamentos </t>
  </si>
  <si>
    <t xml:space="preserve">    B - Equipamentos</t>
  </si>
  <si>
    <t xml:space="preserve">    F - outros</t>
  </si>
  <si>
    <r>
      <rPr>
        <b/>
        <sz val="5.5"/>
        <rFont val="Calibri"/>
        <family val="2"/>
      </rPr>
      <t>CATEGORIA</t>
    </r>
  </si>
  <si>
    <r>
      <rPr>
        <b/>
        <sz val="5.5"/>
        <rFont val="Calibri"/>
        <family val="2"/>
      </rPr>
      <t>PEÇAS DO UNIFORME</t>
    </r>
  </si>
  <si>
    <r>
      <rPr>
        <b/>
        <sz val="5.5"/>
        <rFont val="Calibri"/>
        <family val="2"/>
      </rPr>
      <t>UNIDADE DE FORNECIMENTO</t>
    </r>
  </si>
  <si>
    <r>
      <rPr>
        <b/>
        <sz val="5.5"/>
        <rFont val="Calibri"/>
        <family val="2"/>
      </rPr>
      <t>QUANT ANUAL</t>
    </r>
  </si>
  <si>
    <r>
      <rPr>
        <b/>
        <sz val="5.5"/>
        <rFont val="Calibri"/>
        <family val="2"/>
      </rPr>
      <t>VALOR UNIT</t>
    </r>
  </si>
  <si>
    <r>
      <rPr>
        <b/>
        <sz val="5.5"/>
        <rFont val="Calibri"/>
        <family val="2"/>
      </rPr>
      <t>SUBTOTAL ANUAL</t>
    </r>
  </si>
  <si>
    <r>
      <rPr>
        <sz val="5.5"/>
        <rFont val="Calibri"/>
        <family val="2"/>
      </rPr>
      <t>Und</t>
    </r>
  </si>
  <si>
    <r>
      <rPr>
        <sz val="5.5"/>
        <rFont val="Calibri"/>
        <family val="2"/>
      </rPr>
      <t>R$</t>
    </r>
  </si>
  <si>
    <r>
      <rPr>
        <b/>
        <sz val="5.5"/>
        <rFont val="Calibri"/>
        <family val="2"/>
      </rPr>
      <t>VALOR ANUAL</t>
    </r>
  </si>
  <si>
    <r>
      <rPr>
        <b/>
        <sz val="5.5"/>
        <rFont val="Calibri"/>
        <family val="2"/>
      </rPr>
      <t>R$</t>
    </r>
  </si>
  <si>
    <t>MINISTÉRIO DA AGRICULTURA, PECUÁRIA E ABASTECIMENTO</t>
  </si>
  <si>
    <t>DESCRIÇÃO</t>
  </si>
  <si>
    <t>UNID.</t>
  </si>
  <si>
    <t>QTD.</t>
  </si>
  <si>
    <t>Unitário</t>
  </si>
  <si>
    <t>Total</t>
  </si>
  <si>
    <t>DEP (MESES)</t>
  </si>
  <si>
    <t>Mensal</t>
  </si>
  <si>
    <t>Un.</t>
  </si>
  <si>
    <t>Valor Mensal rateado por profissional</t>
  </si>
  <si>
    <t>CUSTO ESTIMADO DOS EQUIPAMENTOS - VIGILANTES ARMADOS</t>
  </si>
  <si>
    <t>Quantidade de Profissionais</t>
  </si>
  <si>
    <t xml:space="preserve">UNIFORMES PARA TODOS OS  VIGILANTES </t>
  </si>
  <si>
    <t>Capa de chuva</t>
  </si>
  <si>
    <t>VALOR MENSAL</t>
  </si>
  <si>
    <t xml:space="preserve">            VIPPIM Segurança e Vigilância LTDA</t>
  </si>
  <si>
    <t>À</t>
  </si>
  <si>
    <t>Brasília - DF</t>
  </si>
  <si>
    <t>Ref. PROPOSTA DE PREÇOS</t>
  </si>
  <si>
    <t>DADOS DA EMPRESA:</t>
  </si>
  <si>
    <r>
      <t xml:space="preserve">RAZÃO SOCIAL: </t>
    </r>
    <r>
      <rPr>
        <sz val="12"/>
        <rFont val="Arial Narrow"/>
        <family val="2"/>
      </rPr>
      <t>VIPPIM VIGILÂNCIA E SEGURANÇA LTDA</t>
    </r>
  </si>
  <si>
    <r>
      <t xml:space="preserve">CNPJ: </t>
    </r>
    <r>
      <rPr>
        <sz val="12"/>
        <rFont val="Arial Narrow"/>
        <family val="2"/>
      </rPr>
      <t>11.349.160/0001-67</t>
    </r>
  </si>
  <si>
    <r>
      <t xml:space="preserve">TELEFONE: </t>
    </r>
    <r>
      <rPr>
        <sz val="12"/>
        <rFont val="Arial Narrow"/>
        <family val="2"/>
      </rPr>
      <t>61-3386-8878</t>
    </r>
    <r>
      <rPr>
        <b/>
        <sz val="12"/>
        <rFont val="Arial Narrow"/>
        <family val="2"/>
      </rPr>
      <t xml:space="preserve"> - EMAIL: </t>
    </r>
    <r>
      <rPr>
        <sz val="12"/>
        <rFont val="Arial Narrow"/>
        <family val="2"/>
      </rPr>
      <t>vippimezpcomercial@gmail.com</t>
    </r>
  </si>
  <si>
    <t>Prezados Senhores,</t>
  </si>
  <si>
    <t>Qtde de Postos</t>
  </si>
  <si>
    <t>Qtde de Profissionais</t>
  </si>
  <si>
    <t>VALOR UNITÁRIO DO HOMEM</t>
  </si>
  <si>
    <t>Valor Total para 12 meses</t>
  </si>
  <si>
    <t>TOTAL:</t>
  </si>
  <si>
    <t>Valor mensal do serviço</t>
  </si>
  <si>
    <t>Número de meses do contrato</t>
  </si>
  <si>
    <t>Valor Anual do Serviço</t>
  </si>
  <si>
    <r>
      <t xml:space="preserve">NOME: </t>
    </r>
    <r>
      <rPr>
        <sz val="12"/>
        <rFont val="Arial Narrow"/>
        <family val="2"/>
      </rPr>
      <t>Eurípedes Gonçalves</t>
    </r>
  </si>
  <si>
    <r>
      <t xml:space="preserve">ENDEREÇO: </t>
    </r>
    <r>
      <rPr>
        <sz val="12"/>
        <rFont val="Arial Narrow"/>
        <family val="2"/>
      </rPr>
      <t>CH 53 LOTE 06 - TAGUATINGA</t>
    </r>
  </si>
  <si>
    <r>
      <t xml:space="preserve">CEP: </t>
    </r>
    <r>
      <rPr>
        <sz val="12"/>
        <rFont val="Arial Narrow"/>
        <family val="2"/>
      </rPr>
      <t>72.001-500</t>
    </r>
  </si>
  <si>
    <r>
      <rPr>
        <b/>
        <sz val="12"/>
        <rFont val="Arial Narrow"/>
        <family val="2"/>
      </rPr>
      <t xml:space="preserve">CIDADE/UF: </t>
    </r>
    <r>
      <rPr>
        <sz val="12"/>
        <rFont val="Arial Narrow"/>
        <family val="2"/>
      </rPr>
      <t>TAGUATINGA - BRASÍLIA - DF</t>
    </r>
  </si>
  <si>
    <r>
      <rPr>
        <b/>
        <sz val="12"/>
        <rFont val="Arial Narrow"/>
        <family val="2"/>
      </rPr>
      <t>CARGO/FUNÇÃO</t>
    </r>
    <r>
      <rPr>
        <sz val="12"/>
        <rFont val="Arial Narrow"/>
        <family val="2"/>
      </rPr>
      <t>: SÓCIO</t>
    </r>
  </si>
  <si>
    <r>
      <t xml:space="preserve">CPF: </t>
    </r>
    <r>
      <rPr>
        <sz val="12"/>
        <rFont val="Arial Narrow"/>
        <family val="2"/>
      </rPr>
      <t>256.203.981-53</t>
    </r>
  </si>
  <si>
    <r>
      <rPr>
        <b/>
        <sz val="12"/>
        <rFont val="Arial Narrow"/>
        <family val="2"/>
      </rPr>
      <t>RG:</t>
    </r>
    <r>
      <rPr>
        <sz val="12"/>
        <rFont val="Arial Narrow"/>
        <family val="2"/>
      </rPr>
      <t xml:space="preserve"> 623.703 - SSP-DF</t>
    </r>
  </si>
  <si>
    <r>
      <rPr>
        <b/>
        <sz val="12"/>
        <rFont val="Arial Narrow"/>
        <family val="2"/>
      </rPr>
      <t xml:space="preserve">NACIONALIDADE: </t>
    </r>
    <r>
      <rPr>
        <sz val="12"/>
        <rFont val="Arial Narrow"/>
        <family val="2"/>
      </rPr>
      <t>BRASILEIRO</t>
    </r>
  </si>
  <si>
    <t>DECLARAÇÕES:</t>
  </si>
  <si>
    <t>Após, analisarmos minuciosamente toda a documentação da licitação supra referida e tomarmos conhecimento de todas as suas condições e obrigações, propomos executar, sob nossa integral responsabilidade o objeto epigrafado, em atendimento às especificações indicadas no Anexo I – Termo de Referência e seus anexos, pelo preço de:</t>
  </si>
  <si>
    <r>
      <t>1)</t>
    </r>
    <r>
      <rPr>
        <sz val="12"/>
        <rFont val="Arial Narrow"/>
        <family val="2"/>
      </rPr>
      <t xml:space="preserve"> Declaramos que em nosso preço ofertado estão incluídos todos os custos, diretos e indiretos, para perfeita execução do objeto, tais como: materiais, mão de obra, especializada ou não, seguros em geral, equipamentos auxiliares, ferramentas, transportes, cargas e descargas em geral, encargos da legislação social, trabalhista e previdenciária, da infortunística do trabalho e responsabilidade civil, por quaisquer danos causados a terceiros ou dispêndios resultantes de impostos, taxas, regulamentos e posturas municipais, estaduais e federais, encargos e custos financeiros, enfim, tudo o que for necessário para a execução total e completa do objeto, conforme especificações constantes deste Edital, sem que lhe caiba, em qualquer caso, direito regressivo em relação à CEASA/DF.</t>
    </r>
  </si>
  <si>
    <r>
      <t xml:space="preserve">ENDEREÇO: </t>
    </r>
    <r>
      <rPr>
        <sz val="12"/>
        <rFont val="Arial Narrow"/>
        <family val="2"/>
      </rPr>
      <t>RUA 05 LOTE 23 - LOJA 02 - PÓLO DE MODAS - GUARÁ - DF - CEP: 71.070-505</t>
    </r>
  </si>
  <si>
    <t>Gru-po</t>
  </si>
  <si>
    <t xml:space="preserve">    F - Adicional Motorizado</t>
  </si>
  <si>
    <t>VALOR TOTAL DO POSTO/15 dias</t>
  </si>
  <si>
    <t>Diurno / Noturno Terça, Quarta e Sexta (7h às 17h)
Segunda e Quinta
(3h00 às 12h30)</t>
  </si>
  <si>
    <t>Diurno / Noturno 12 horas (3h00 às 15h00) (segunda, quinta e sábado)</t>
  </si>
  <si>
    <t xml:space="preserve">A empresa VIPPIM VIGILÂNCIA E SEGURANÇA LTDA, inscrita no CNPJ sob o número 11.349.160/0001-67, sediada no endereço Rua 05 Lote 23 Loja 02 - Pólo de Modas - Guará II - Brasília - DF,  para fi ns departicipação no presente processo Seleção de Fornecedores, vem pela presenteapresentar - em anexo - sua proposta de preços para registro e prestação do serviço, de acordo com as exigências do Ato Convocatório supracitado. </t>
  </si>
  <si>
    <t>Calça cargo</t>
  </si>
  <si>
    <t>Camisa de mangas curtas e/ou camisas de mangas compridas</t>
  </si>
  <si>
    <t>Par de sapato preto e/ou coturno em lona, fechado, antiderrapante</t>
  </si>
  <si>
    <t>Meia preta (par)</t>
  </si>
  <si>
    <t>Bonés com emblema</t>
  </si>
  <si>
    <t>Cinto Nylon preto</t>
  </si>
  <si>
    <t>Crachá de identificação</t>
  </si>
  <si>
    <t>Cinto de guarnição completo</t>
  </si>
  <si>
    <t>Jaqueta de frio ou japona</t>
  </si>
  <si>
    <t>Capa de Chuva de 1ª linha para motociclista e par de bota de borracha</t>
  </si>
  <si>
    <t>semestral</t>
  </si>
  <si>
    <t>Anual</t>
  </si>
  <si>
    <t>Prancheta</t>
  </si>
  <si>
    <t>Canetas</t>
  </si>
  <si>
    <t>Livro de Ocorrência</t>
  </si>
  <si>
    <t>Cassetete e porta cassetete</t>
  </si>
  <si>
    <t>Apito</t>
  </si>
  <si>
    <t>Cordão de apito</t>
  </si>
  <si>
    <t>Lanterna com bateria recarregável</t>
  </si>
  <si>
    <t>Motocicleta modelo trail, mínimo 150CC, com até 2 anos de uso, equipada com rádio comunicador, giroflex, sirene. (Embrapa Sede/Fazenda Sucupira)</t>
  </si>
  <si>
    <t>Capacete com frente aberta, proteção lateral e viseira de proteção, de acordo com a legislação de trânsito vigente</t>
  </si>
  <si>
    <t>Arma Curta (Revolver/Pistola), munição e registro Coldre e baleiro</t>
  </si>
  <si>
    <t>Rádios de comunicação móveis e portáteis, para cada vigilante em serviço, com alcance mínimo de 10km. (Agroenergia, Cenargen/Fazenda Sucupira e Sede)</t>
  </si>
  <si>
    <t>Vigilância Desarmada Diurna</t>
  </si>
  <si>
    <t>Vigilância Desarmada Diurna Motorizada</t>
  </si>
  <si>
    <t>Vigilância Desarmada Diurna (Monitoramento)</t>
  </si>
  <si>
    <t>Vigilância Armada Noturna</t>
  </si>
  <si>
    <t>Vigilância Armada Diurna</t>
  </si>
  <si>
    <t>Vigilância Armada Noturna Motorizada 2</t>
  </si>
  <si>
    <t>Vigilância Armada Diurna Motorizada</t>
  </si>
  <si>
    <t>Vigilância</t>
  </si>
  <si>
    <t xml:space="preserve">    C - Adicional motorizado</t>
  </si>
  <si>
    <t xml:space="preserve">    G - Adicional motorizado</t>
  </si>
  <si>
    <t>EMBRAPA</t>
  </si>
  <si>
    <t>PREGÃO ELETRÔNICO  N° 17/2021</t>
  </si>
  <si>
    <r>
      <t>2)</t>
    </r>
    <r>
      <rPr>
        <sz val="12"/>
        <rFont val="Arial Narrow"/>
        <family val="2"/>
      </rPr>
      <t xml:space="preserve"> Declaramos ainda, nos sujeitar, inteira e plenamente, às condições do edital e seus Anexos.</t>
    </r>
  </si>
  <si>
    <r>
      <t>3)</t>
    </r>
    <r>
      <rPr>
        <sz val="12"/>
        <rFont val="Arial Narrow"/>
        <family val="2"/>
      </rPr>
      <t xml:space="preserve"> A Proposta de Preços tem validade de 60 (sessenta) dias contados da sua emissão.</t>
    </r>
  </si>
  <si>
    <r>
      <t>4)</t>
    </r>
    <r>
      <rPr>
        <sz val="12"/>
        <rFont val="Arial Narrow"/>
        <family val="2"/>
      </rPr>
      <t xml:space="preserve"> Em anexo, encaminhamos a Proposta Comercial, conforme os termos do Ato Convocatório e declaramos estar cientes de todas as cláusulas do instrumento convocatório.</t>
    </r>
  </si>
  <si>
    <r>
      <t>5)</t>
    </r>
    <r>
      <rPr>
        <sz val="12"/>
        <rFont val="Arial Narrow"/>
        <family val="2"/>
      </rPr>
      <t xml:space="preserve"> A CCT utilizada para a cotação das Planilhas de Custos e Formação de Preços foi a do SINDESP-DF e SINDESV-DF, cuja data base é 01/01/2021.</t>
    </r>
  </si>
  <si>
    <t>(quinhentos e setenta e oito mil, trezentos e vinte e seis reais).</t>
  </si>
  <si>
    <t>(Seis milhões, novecentos e trinta e nove mil, novecentos e doze reais).</t>
  </si>
  <si>
    <t>UNIFORME VIGILANTE</t>
  </si>
  <si>
    <t>UNIFORME VIGILANTE MOTORIZADO</t>
  </si>
  <si>
    <t>Colete Tático com placa balística (Vigilante Armado)</t>
  </si>
  <si>
    <t>CUSTO ESTIMADO DOS EQUIPAMENTOS - TODOS OS VIGILANTES</t>
  </si>
  <si>
    <t>Bastão  de ronda eletrônico, com software de instalação e gerenciamento compatível com o Sistema Operacional Windows* (Embrapa Sede/Fazenda Sucupira)</t>
  </si>
  <si>
    <t>8.1</t>
  </si>
  <si>
    <t>Botons para Bastão  de ronda eletrônico, com software de instalação e gerenciamento compatível com o Sistema Operacional Windows* (Embrapa Sede/Fazenda Sucupira)</t>
  </si>
  <si>
    <t>CUSTO ESTIMADO DOS EQUIPAMENTOS - VIGILANTES MOTORIZADOS</t>
  </si>
  <si>
    <t>Um</t>
  </si>
  <si>
    <t xml:space="preserve">    C - Equipamentos (motorizado)</t>
  </si>
  <si>
    <t>Gasolina/Álcool* considerando 295km dia</t>
  </si>
  <si>
    <t xml:space="preserve">    C - Equipamentos (vigilante armado)</t>
  </si>
  <si>
    <t xml:space="preserve">    D - Equipamentos (vigilante armado)</t>
  </si>
  <si>
    <t xml:space="preserve">    B - Incidência do FGTS sobre aviso prévio indenizado (8%)</t>
  </si>
  <si>
    <t xml:space="preserve">   C - Multa do FGTS nas rescisões sem justa causa</t>
  </si>
  <si>
    <t xml:space="preserve">   F - Multa do FGTS sobre aviso prévio trabalhado</t>
  </si>
  <si>
    <t xml:space="preserve">    A –Substituo na Cobertura de Férias  = ((12,10%)/12 = 0,95%)</t>
  </si>
  <si>
    <r>
      <t xml:space="preserve">    B – Substituto na Cobertura de Ausências legais</t>
    </r>
    <r>
      <rPr>
        <i/>
        <sz val="10"/>
        <rFont val="Times New Roman"/>
        <family val="1"/>
      </rPr>
      <t xml:space="preserve"> </t>
    </r>
    <r>
      <rPr>
        <b/>
        <i/>
        <sz val="8"/>
        <rFont val="Times New Roman"/>
        <family val="1"/>
      </rPr>
      <t xml:space="preserve">(Ausências ao trabalho asseguradas ao empregado pelo art. 473 da CLT (morte de cônjuge, ascendente, descendente; casamento; nascimento de filho; doação de sangue; alistamento eleitoral; serviço militar; comparecer a juízo). MEMÓRIA DE CÁLCULO: (2,96d/30d/12m)x2%x100 = 0,02% </t>
    </r>
  </si>
  <si>
    <r>
      <t xml:space="preserve">    C - Substituto na Cobertura de Licença paternidade</t>
    </r>
    <r>
      <rPr>
        <i/>
        <sz val="10"/>
        <rFont val="Times New Roman"/>
        <family val="1"/>
      </rPr>
      <t xml:space="preserve"> </t>
    </r>
    <r>
      <rPr>
        <b/>
        <i/>
        <sz val="8"/>
        <rFont val="Times New Roman"/>
        <family val="1"/>
      </rPr>
      <t>(Art. 7º, inciso XIX da CF e art. 10, §1º dos ADCT. Concede ao empregado o direito de ausentar-se do serviço por cinco dias quando do nascimento de filho. De acordo com as estatísticas dessa empresa, nascem filhos de 1,5% dos trabalhadores no periodo de 1 ano.  ((5d/30d)/12m x 1,5%)x100 = 0,02%.</t>
    </r>
  </si>
  <si>
    <r>
      <t xml:space="preserve">    E - Substituto na Cobertura de Afastamento Maternidade</t>
    </r>
    <r>
      <rPr>
        <b/>
        <i/>
        <sz val="10"/>
        <rFont val="Times New Roman"/>
        <family val="1"/>
      </rPr>
      <t xml:space="preserve"> (Conforme arts. 6º e 7º, inciso XVIII, 201, inciso II e 203, inciso I da CF; Lei Ordinária Federal nº 8.123/91, arts. 71 a 73. A licença maternidade tem duração de 120 dias. O cálculo deve considerar 4/12 de adicional de 1/3 de férias e 4/12 de 13º salário da profissional substituta. De acordo com as estatísticas desta empresa  25,00% dos profissionais que trabalham como brigadistas são mulheres e que a média de 10% dessas brigadistas recebem o benefício Cálculo: ((1 ÷ 12 x 4) + (1,33 ÷ 12 x 4)) ÷ 12 x 0,0025 = 0,02%).</t>
    </r>
  </si>
  <si>
    <t xml:space="preserve">    F - Substituto na Cobertura de outras Ausências (especificar)</t>
  </si>
  <si>
    <t xml:space="preserve">    C - Demais Equipamentos</t>
  </si>
  <si>
    <t>VALOR DO LANCE</t>
  </si>
  <si>
    <t>(Trezentos e setenta e seis mil, duzentos e trinta reais e oitenta e seis centavos).</t>
  </si>
  <si>
    <t>(Quatro milhões, quinhentos e quatorze mil, setecentos e setenta reais e trinta e quatro centavos).</t>
  </si>
  <si>
    <t>VIPPIM Segurança e Vigilância LTDA</t>
  </si>
  <si>
    <t>VALOR UNITÁRIO ANUAL (Lance)</t>
  </si>
  <si>
    <r>
      <t xml:space="preserve">    A - Aviso prévio indenizado </t>
    </r>
    <r>
      <rPr>
        <i/>
        <sz val="10"/>
        <rFont val="Times New Roman"/>
        <family val="1"/>
      </rPr>
      <t xml:space="preserve"> </t>
    </r>
    <r>
      <rPr>
        <b/>
        <sz val="10"/>
        <rFont val="Times New Roman"/>
        <family val="1"/>
      </rPr>
      <t>(CF, art. 7º, inciso XXI e CLT, arts. 477 e 487 a 491. Trata-se de valor devido ao empregado no caso de o empregador rescindir o contrato sem justo motivo e sem lhe conceder aviso prévio. De acordo com as justificativas desta empresa (ao lado), menos de 1% do seu pessoal é demitido pelo empregador, antes do término do contrato de trabalho logo a provisão representa: ((1/12)x 0,01) x 100 =0,08 %.</t>
    </r>
  </si>
  <si>
    <r>
      <t xml:space="preserve">    D - Aviso Prévio Trabalhado</t>
    </r>
    <r>
      <rPr>
        <b/>
        <sz val="10"/>
        <rFont val="Times New Roman"/>
        <family val="1"/>
      </rPr>
      <t xml:space="preserve"> (Acórdão TCU 3.006/2010 - Plenário - apêndice pág. 53. Refere-se à indenização de sete dias corridos devida ao empregado no caso de o empregador rescindir o contrato sem justo motivo e conceder aviso prévio, conforme disposto no art. 488 da CLT).   Em razão da CCT da Categoria, prever que os empregados terão direito a continuidade na contratação dos serviços, o percentual de demissão de empregados terceirizados nessa situação é de 1%. Logo a provisão representa: ((7/30)/12) = 1,94 % x 1% = 0,02%</t>
    </r>
  </si>
  <si>
    <r>
      <rPr>
        <b/>
        <u/>
        <sz val="10"/>
        <rFont val="Arial"/>
        <family val="2"/>
      </rPr>
      <t xml:space="preserve">JUSTIFICATIVA: SOBRE O AVISO PRÉVIO INDENIZADO: </t>
    </r>
    <r>
      <rPr>
        <sz val="10"/>
        <rFont val="Arial"/>
        <family val="2"/>
      </rPr>
      <t xml:space="preserve">Como descrito na justificativa apresentada por esta empresa, esse trata de valor devido ao empregado no caso de o empregador rescindir o contrato sem justo motivo e sem lhe conceder o prazo para o cumprimento do aviso prévio. 
Antes de mais nada, vale ressaltar que na atual conjuntura econômica de nosso País, o percentual de casos em que esta e qualquer outra empresa de qualquer ramo econômico ofereça a indenização de aviso prévio é quase nula, ocorrendo em casos extremamente raros, já que dispor de um salário integral, acrescidos das demais verbas trabalhistas sem a compensatória prestação de serviços, onera demais o passivo trabalhista de qualquer empresa, prejudicando assim a operacionalização dos serviços, bem como sua saúde financeira.
Além do mais, com o advindo da reforma trabalhista em 2017, pela Lei 13.467/2017, se regularizou uma prática já corriqueira entre empregado e empregador, onde ambos estabeleciam um acordo para dispensa do empregado, já que o empregado queria sair da empresa mas não queria perder direitos, a reforma veio com objetivo de diminuir o valor das verbas trabalhistas e assim possibilitar a dispensa já que existia interesse recíproco.
O artigo 484-A dispõe que “o contrato de trabalho poderá ser extinto por acordo entre empregado e empregador (…)”.
Tendo em vista a nova previsão no diploma trabalhista, o aviso prévio se indenizado será pago pela metade e a indenização sobre o saldo do FGTS de 20%, sendo limitado a 80% do valor do depósito (artigo 484-A, § 1º da CLT) as demais verbas serão pagas da mesma forma como anterior a nova Lei, indenização fundiária, o saldo de salário (valor devido pelos dias trabalhados no mês da dispensa); o 13º salário proporcional aos meses trabalhados no respectivo ano; e férias vencidas e/ou proporcionais acrescidas do terço constitucional. Não sendo permitido o recebimento do seguro desemprego. (Artigo 484-A, § 2º da CLT).
Ou seja, além de ser remota a dispensa do empregado a fim de pagamento do aviso prévio indenizado, a Nova Lei Trabalhista ainda prevê que tal prática seja de comum acordo entre o emprego e empregador, razão pela qual, </t>
    </r>
    <r>
      <rPr>
        <b/>
        <i/>
        <u/>
        <sz val="10"/>
        <rFont val="Arial"/>
        <family val="2"/>
      </rPr>
      <t>a provisão de 1% dos empregados nessa situação ser suficiente para cumprir com o exigido no edital de licitação.</t>
    </r>
    <r>
      <rPr>
        <sz val="10"/>
        <rFont val="Arial"/>
        <family val="2"/>
      </rPr>
      <t xml:space="preserve">
</t>
    </r>
    <r>
      <rPr>
        <b/>
        <u/>
        <sz val="10"/>
        <rFont val="Arial"/>
        <family val="2"/>
      </rPr>
      <t>D - SOBRE O AVISO PRÉVIO TRABALHADO: Como descrito na justificativa, a CCT da Categoria prevê em sua Cláusula Vigésima Nona o seguinte:</t>
    </r>
    <r>
      <rPr>
        <sz val="10"/>
        <rFont val="Arial"/>
        <family val="2"/>
      </rPr>
      <t xml:space="preserve">
"POLÍTICAS DE MANUTENÇÃO DO EMPREGO
CLÁUSULA TRIGÉSIMA SEXTA - INCENTIVO À CONTINUIDADE
Fica pactuado que as empresas que sucederem outras na prestação do mesmo serviço, em razão de nova licitação pública ou novo contrato administrativo ou particular e/ou contrato emergencial, ficarão obrigadas a contratar os empregados da empresa anterior respeitando todas as estabilidades legais, inclusive as gestantes; membros de CIPA; e todos os demais funcionários que na data do desligamento possua qualquer tipo de estabilidade legal e/ou funcional, sem descontinuidade quanto ao pagamento dos salários e a prestação dos serviços, limitado ao quantitativo de empregados do novo contrato, obrigando as empresas que perderem o contrato a comunicar o fato ao sindicato laboral, inclusive por correspondência eletrônica, até 20 (vinte) dias antes do final do mesmo.
.............
§ 3º - Item IV - A empresa que está perdendo o contrato de prestação de serviços fica desobrigada do pagamento do aviso prévio e suas respectivas projeções, conforme previsto  no art. 12º das Leis nº 13.932/2019, obrigando-se, entretanto, a pagar as demais verbas rescisórias, sendo que a multa fundiária (art. 4º Decreto nº 99.684/90), será calculada no percentual de 40% do FGTS devido ao empregado. "
Sendo assim, caso essa empresa venha a perder o contrato futuramente, outra empresa passará a ser sucessora dos serviços e estará obrigada a contratar todos os empregados lotados na frente de serviços, sendo que esta não será obrigada a pagar o aviso prévio trabalhado, conforme descrito na Cláusula da CCT acima, </t>
    </r>
    <r>
      <rPr>
        <b/>
        <u/>
        <sz val="10"/>
        <rFont val="Arial"/>
        <family val="2"/>
      </rPr>
      <t>razão pela qual, a previsão de 1% para esse custo é mais do que suficiente para cumprir com o exigido no edital em referência.</t>
    </r>
    <r>
      <rPr>
        <sz val="10"/>
        <rFont val="Arial"/>
        <family val="2"/>
      </rPr>
      <t xml:space="preserve">
</t>
    </r>
  </si>
  <si>
    <r>
      <t xml:space="preserve">    </t>
    </r>
    <r>
      <rPr>
        <sz val="11"/>
        <color indexed="8"/>
        <rFont val="Times New Roman"/>
        <family val="1"/>
      </rPr>
      <t xml:space="preserve">D - Substituto na Cobertura de Ausência por Acidente de Trabalho </t>
    </r>
    <r>
      <rPr>
        <b/>
        <i/>
        <sz val="8"/>
        <color indexed="8"/>
        <rFont val="Times New Roman"/>
        <family val="1"/>
      </rPr>
      <t>(O art. 27 do Decreto nº 89.312/84 obriga o empregador a assumir o ônus financeiro pelo prazo de 15 dias, no caso de acidente de trabalho previsto no art. 131 da CLT. De acordo com estatísticas dessa empresa em média menos de  0,5% dos empregados se acidentam no trabalho no ano. Assim a provisão corresponde a: MEMÓRIA DE CÁLCULO:(15 ÷ 30 ÷ 12 x 0,005 x 100 = 0,02%)</t>
    </r>
  </si>
  <si>
    <t xml:space="preserve">A empresa VIPPIM VIGILÂNCIA E SEGURANÇA LTDA, inscrita no CNPJ sob o número 11.349.160/0001-67, sediada no endereço Rua 05 Lote 23 Loja 02 - Pólo de Modas - Guará II - Brasília - DF,  para fi ns departicipação no presente processo Seleção de Fornecedores, vem pela presente apresentar - em anexo - sua proposta de preços para registro e prestação do serviço, de acordo com as exigências do Ato Convocatório supracitado. </t>
  </si>
  <si>
    <t>OBJETO:</t>
  </si>
  <si>
    <t>O  objeto da presente proposta de preços é a  prestação de serviços de natureza continuada de VIGILÂNCIA PATRIMONIAL OSTENSIVA, ARMADA E DESARMADA, DIURNA E NOTURNA, nas dependências da Embrapa, que compreenderá, além dos postos de serviço, o fornecimento de uniformes, materiais e equipamentos necessários à execução dos serviços, de acordo com as especificações técnicas, condições, quantidades e padrões de desempenho e qualidade estabelecidas neste Termo de Referência. As categorias a serem empregadas no serviço são registradas pela Secretaria de Trabalho do Ministério da Economia, conforme código constante da Classificação Brasileira de Ocupações - CBO - Vigilante: 5173-30.</t>
  </si>
  <si>
    <t>DO LOCAL DA PRESTAÇÃO DOS SERVIÇOS:</t>
  </si>
  <si>
    <t>Os serviços serão prestados nas dependências da Embrapa, situadas no Parque Estação Biológica - PqEB, Avenida W3 Norte (Final), S/N, Asa Norte, Brasília - DF. CEP: 70770-901 e na Estrada Parque Contorno Taguatinga/Gama, Km 03 - Fazenda Sucupira, DF, 71701-970)</t>
  </si>
  <si>
    <t>DOS PREÇOS PROPOSTOS:</t>
  </si>
  <si>
    <r>
      <t>3)</t>
    </r>
    <r>
      <rPr>
        <sz val="12"/>
        <rFont val="Arial Narrow"/>
        <family val="2"/>
      </rPr>
      <t xml:space="preserve"> A Proposta de Preços tem validade de 60 (sessenta) dias contados da data de abertura do pregão.</t>
    </r>
  </si>
  <si>
    <t>CONTA VINCULADA</t>
  </si>
  <si>
    <t>Grupo</t>
  </si>
  <si>
    <t>(Cinquenta e sete mil, duzentos e onze reais e quarenta e quatro centavos).</t>
  </si>
  <si>
    <t>(Seiscentos e oitenta e seis mil, quinhentos e trinta e sete reais e vinte e seis centavos).</t>
  </si>
  <si>
    <t>RESUMO DE PREÇOS</t>
  </si>
  <si>
    <t>EMBRAPA AGROENERGIA</t>
  </si>
  <si>
    <t>(Cento e setenta e cinco mil, quatrocentos e setenta reais e cinquenta e oito centavos).</t>
  </si>
  <si>
    <t>Competencia
(B)</t>
  </si>
  <si>
    <t>Valor Pago
(C)</t>
  </si>
  <si>
    <t>Valor Devido
(D)</t>
  </si>
  <si>
    <t>Diferença
(E) = (D - C)</t>
  </si>
  <si>
    <t>DIFERENÇA DE REPACTUAÇÃO EMBRAPA SEDE</t>
  </si>
  <si>
    <t>EMBRAPA SEDE - Cod. 12700.21/0096-1</t>
  </si>
  <si>
    <t>(quarenta e oito mil, novecentos e noventa e três  reais e trinta  centavos).</t>
  </si>
  <si>
    <t>(Quatrocentos e vinte e oito mil, quinhentos e dois reais e quarenta e dois centavos).</t>
  </si>
  <si>
    <t>(Cinco milhões, cento e quarenta e dois mil, vinte e nove reais e seis centavos).</t>
  </si>
  <si>
    <t>sede</t>
  </si>
  <si>
    <t>cenargem</t>
  </si>
  <si>
    <t>agro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</si>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</sst>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&quot;R$&quot;\ #,##0;[Red]\-&quot;R$&quot;\ #,##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&quot;R$&quot;\ #,##0.00"/>
    <numFmt numFmtId="168" formatCode="&quot;R$ &quot;#,##0.00_);[Red]&quot;(R$ &quot;#,##0.00\)"/>
    <numFmt numFmtId="169" formatCode="0.000%"/>
    <numFmt numFmtId="170" formatCode="_([$€-2]* #,##0.00_);_([$€-2]* \(#,##0.00\);_([$€-2]* &quot;-&quot;??_)"/>
    <numFmt numFmtId="171" formatCode="00"/>
    <numFmt numFmtId="172" formatCode="_(&quot;R$&quot;* #,##0.00_);_(&quot;R$&quot;* \(#,##0.00\);_(&quot;R$&quot;* &quot;-&quot;??_);_(@_)"/>
  </numFmts>
  <fonts count="10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b/>
      <sz val="13"/>
      <name val="Arial"/>
      <family val="2"/>
    </font>
    <font>
      <sz val="10"/>
      <name val="Verdana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2"/>
      <name val="Verdana"/>
      <family val="2"/>
    </font>
    <font>
      <b/>
      <sz val="11"/>
      <name val="Verdana"/>
      <family val="2"/>
    </font>
    <font>
      <sz val="12"/>
      <name val="Verdana"/>
      <family val="2"/>
    </font>
    <font>
      <sz val="12"/>
      <name val="Arial"/>
      <family val="2"/>
    </font>
    <font>
      <b/>
      <sz val="9"/>
      <name val="Verdana"/>
      <family val="2"/>
    </font>
    <font>
      <b/>
      <sz val="12"/>
      <name val="Times New Roman"/>
      <family val="1"/>
      <charset val="1"/>
    </font>
    <font>
      <sz val="11"/>
      <color indexed="57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8"/>
      <name val="Arial"/>
      <family val="2"/>
    </font>
    <font>
      <sz val="11"/>
      <color indexed="18"/>
      <name val="Times New Roman"/>
      <family val="1"/>
    </font>
    <font>
      <sz val="11"/>
      <color indexed="57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2"/>
      <name val="Arial Narrow"/>
      <family val="2"/>
    </font>
    <font>
      <sz val="18"/>
      <color rgb="FF002060"/>
      <name val="Aharoni"/>
    </font>
    <font>
      <b/>
      <sz val="12"/>
      <name val="Arial Narrow"/>
      <family val="2"/>
    </font>
    <font>
      <sz val="12"/>
      <name val="Times New Roman"/>
      <family val="1"/>
    </font>
    <font>
      <i/>
      <sz val="10"/>
      <name val="Times New Roman"/>
      <family val="1"/>
    </font>
    <font>
      <sz val="9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sz val="7"/>
      <color theme="1"/>
      <name val="Verdana"/>
      <family val="2"/>
    </font>
    <font>
      <b/>
      <sz val="10"/>
      <color indexed="20"/>
      <name val="Verdana"/>
      <family val="2"/>
    </font>
    <font>
      <sz val="10"/>
      <color indexed="10"/>
      <name val="Verdana"/>
      <family val="2"/>
    </font>
    <font>
      <sz val="10"/>
      <color indexed="57"/>
      <name val="Verdana"/>
      <family val="2"/>
    </font>
    <font>
      <b/>
      <sz val="10"/>
      <color indexed="57"/>
      <name val="Verdana"/>
      <family val="2"/>
    </font>
    <font>
      <sz val="10"/>
      <color indexed="18"/>
      <name val="Verdana"/>
      <family val="2"/>
    </font>
    <font>
      <sz val="10"/>
      <color indexed="8"/>
      <name val="Verdana"/>
      <family val="2"/>
    </font>
    <font>
      <b/>
      <sz val="12"/>
      <color theme="4" tint="-0.499984740745262"/>
      <name val="Verdana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7"/>
      <name val="Arial"/>
      <family val="2"/>
    </font>
    <font>
      <sz val="11"/>
      <name val="Calibri"/>
      <family val="2"/>
      <scheme val="minor"/>
    </font>
    <font>
      <b/>
      <sz val="10"/>
      <color indexed="18"/>
      <name val="Verdana"/>
      <family val="2"/>
    </font>
    <font>
      <sz val="10"/>
      <color theme="0" tint="-0.14999847407452621"/>
      <name val="Verdana"/>
      <family val="2"/>
    </font>
    <font>
      <sz val="11"/>
      <color rgb="FF000000"/>
      <name val="Roboto"/>
    </font>
    <font>
      <b/>
      <sz val="11"/>
      <color indexed="18"/>
      <name val="Times New Roman"/>
      <family val="1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5.5"/>
      <name val="Calibri"/>
      <family val="2"/>
    </font>
    <font>
      <b/>
      <sz val="5.5"/>
      <name val="Calibri"/>
      <family val="2"/>
    </font>
    <font>
      <sz val="5.5"/>
      <name val="Calibri"/>
      <family val="2"/>
    </font>
    <font>
      <sz val="5.5"/>
      <name val="Calibri"/>
      <family val="2"/>
    </font>
    <font>
      <sz val="5.5"/>
      <color rgb="FF000000"/>
      <name val="Calibri"/>
      <family val="2"/>
    </font>
    <font>
      <b/>
      <sz val="5.5"/>
      <color rgb="FF000000"/>
      <name val="Calibri"/>
      <family val="2"/>
    </font>
    <font>
      <sz val="10"/>
      <color rgb="FF000000"/>
      <name val="Times New Roman"/>
      <family val="1"/>
    </font>
    <font>
      <b/>
      <sz val="10"/>
      <name val="Calibri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i/>
      <sz val="12"/>
      <name val="Arial Narrow"/>
      <family val="2"/>
    </font>
    <font>
      <i/>
      <sz val="12"/>
      <name val="Arial"/>
      <family val="2"/>
    </font>
    <font>
      <b/>
      <i/>
      <sz val="14"/>
      <name val="Arial Narrow"/>
      <family val="2"/>
    </font>
    <font>
      <b/>
      <i/>
      <sz val="10"/>
      <name val="Arial Narrow"/>
      <family val="2"/>
    </font>
    <font>
      <i/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color rgb="FFC0000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sz val="9"/>
      <color rgb="FFC00000"/>
      <name val="Arial"/>
      <family val="2"/>
    </font>
    <font>
      <b/>
      <sz val="10"/>
      <name val="Times New Roman"/>
      <family val="1"/>
    </font>
    <font>
      <b/>
      <i/>
      <sz val="8"/>
      <name val="Times New Roman"/>
      <family val="1"/>
    </font>
    <font>
      <b/>
      <i/>
      <sz val="8"/>
      <color indexed="8"/>
      <name val="Times New Roman"/>
      <family val="1"/>
    </font>
    <font>
      <b/>
      <i/>
      <sz val="10"/>
      <name val="Times New Roman"/>
      <family val="1"/>
    </font>
    <font>
      <sz val="12"/>
      <color rgb="FF002060"/>
      <name val="Aharoni"/>
    </font>
    <font>
      <sz val="24"/>
      <color rgb="FF002060"/>
      <name val="Aharoni"/>
    </font>
    <font>
      <b/>
      <u/>
      <sz val="10"/>
      <name val="Arial"/>
      <family val="2"/>
    </font>
    <font>
      <b/>
      <i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599"/>
      </patternFill>
    </fill>
    <fill>
      <patternFill patternType="solid">
        <f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rgb="FFAAAAAA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2">
    <xf numFmtId="0" fontId="0" fillId="0" borderId="0"/>
    <xf numFmtId="0" fontId="2" fillId="0" borderId="0"/>
    <xf numFmtId="164" fontId="2" fillId="0" borderId="0" applyFill="0" applyBorder="0" applyAlignment="0" applyProtection="0"/>
    <xf numFmtId="166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9" applyNumberFormat="0" applyFill="0" applyAlignment="0" applyProtection="0"/>
    <xf numFmtId="43" fontId="1" fillId="0" borderId="0" applyFont="0" applyFill="0" applyBorder="0" applyAlignment="0" applyProtection="0"/>
    <xf numFmtId="49" fontId="32" fillId="0" borderId="0"/>
    <xf numFmtId="165" fontId="7" fillId="0" borderId="0" applyFont="0" applyFill="0" applyBorder="0" applyAlignment="0" applyProtection="0"/>
    <xf numFmtId="49" fontId="7" fillId="0" borderId="0"/>
    <xf numFmtId="44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63" fillId="0" borderId="0"/>
    <xf numFmtId="0" fontId="7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5">
    <xf numFmtId="0" fontId="0" fillId="0" borderId="0" xfId="0"/>
    <xf numFmtId="0" fontId="2" fillId="0" borderId="0" xfId="1" applyAlignment="1">
      <alignment vertical="center"/>
    </xf>
    <xf numFmtId="0" fontId="16" fillId="4" borderId="11" xfId="1" applyFont="1" applyFill="1" applyBorder="1" applyAlignment="1">
      <alignment vertical="center" wrapText="1"/>
    </xf>
    <xf numFmtId="0" fontId="15" fillId="4" borderId="0" xfId="1" applyFont="1" applyFill="1" applyAlignment="1">
      <alignment vertical="center" wrapText="1"/>
    </xf>
    <xf numFmtId="0" fontId="14" fillId="4" borderId="0" xfId="1" applyFont="1" applyFill="1" applyAlignment="1">
      <alignment vertical="center"/>
    </xf>
    <xf numFmtId="0" fontId="2" fillId="4" borderId="0" xfId="1" applyFill="1" applyAlignment="1">
      <alignment vertical="center"/>
    </xf>
    <xf numFmtId="0" fontId="15" fillId="5" borderId="9" xfId="1" applyFont="1" applyFill="1" applyBorder="1" applyAlignment="1">
      <alignment vertical="center" wrapText="1"/>
    </xf>
    <xf numFmtId="0" fontId="17" fillId="0" borderId="0" xfId="1" applyFont="1" applyAlignment="1">
      <alignment vertical="center"/>
    </xf>
    <xf numFmtId="0" fontId="15" fillId="4" borderId="9" xfId="1" applyFont="1" applyFill="1" applyBorder="1" applyAlignment="1">
      <alignment vertical="center" wrapText="1"/>
    </xf>
    <xf numFmtId="0" fontId="16" fillId="4" borderId="14" xfId="1" applyFont="1" applyFill="1" applyBorder="1" applyAlignment="1">
      <alignment vertical="center" wrapText="1"/>
    </xf>
    <xf numFmtId="0" fontId="16" fillId="4" borderId="16" xfId="1" applyFont="1" applyFill="1" applyBorder="1" applyAlignment="1">
      <alignment vertical="center" wrapText="1"/>
    </xf>
    <xf numFmtId="0" fontId="16" fillId="0" borderId="11" xfId="1" applyFont="1" applyBorder="1" applyAlignment="1">
      <alignment vertical="center" wrapText="1"/>
    </xf>
    <xf numFmtId="10" fontId="2" fillId="0" borderId="0" xfId="17" applyNumberFormat="1" applyBorder="1" applyAlignment="1">
      <alignment vertical="center"/>
    </xf>
    <xf numFmtId="0" fontId="2" fillId="0" borderId="12" xfId="1" applyBorder="1" applyAlignment="1">
      <alignment vertical="center"/>
    </xf>
    <xf numFmtId="10" fontId="18" fillId="4" borderId="12" xfId="17" applyNumberFormat="1" applyFont="1" applyFill="1" applyBorder="1" applyAlignment="1" applyProtection="1">
      <alignment vertical="center"/>
    </xf>
    <xf numFmtId="10" fontId="18" fillId="4" borderId="17" xfId="1" applyNumberFormat="1" applyFont="1" applyFill="1" applyBorder="1" applyAlignment="1">
      <alignment vertical="center"/>
    </xf>
    <xf numFmtId="10" fontId="19" fillId="5" borderId="13" xfId="17" applyNumberFormat="1" applyFont="1" applyFill="1" applyBorder="1" applyAlignment="1" applyProtection="1">
      <alignment vertical="center"/>
    </xf>
    <xf numFmtId="9" fontId="19" fillId="7" borderId="10" xfId="17" applyFont="1" applyFill="1" applyBorder="1" applyAlignment="1" applyProtection="1">
      <alignment horizontal="center" vertical="center"/>
    </xf>
    <xf numFmtId="10" fontId="18" fillId="4" borderId="15" xfId="17" applyNumberFormat="1" applyFont="1" applyFill="1" applyBorder="1" applyAlignment="1" applyProtection="1">
      <alignment vertical="center"/>
    </xf>
    <xf numFmtId="0" fontId="2" fillId="2" borderId="0" xfId="1" applyFill="1" applyAlignment="1">
      <alignment vertical="center"/>
    </xf>
    <xf numFmtId="10" fontId="18" fillId="4" borderId="10" xfId="1" applyNumberFormat="1" applyFont="1" applyFill="1" applyBorder="1" applyAlignment="1">
      <alignment vertical="center"/>
    </xf>
    <xf numFmtId="0" fontId="16" fillId="4" borderId="16" xfId="1" applyFont="1" applyFill="1" applyBorder="1" applyAlignment="1">
      <alignment horizontal="center" vertical="center" wrapText="1"/>
    </xf>
    <xf numFmtId="0" fontId="11" fillId="0" borderId="0" xfId="1" applyFont="1"/>
    <xf numFmtId="0" fontId="13" fillId="7" borderId="9" xfId="1" applyFont="1" applyFill="1" applyBorder="1" applyAlignment="1">
      <alignment horizontal="left" vertical="center" wrapText="1"/>
    </xf>
    <xf numFmtId="0" fontId="15" fillId="10" borderId="9" xfId="1" applyFont="1" applyFill="1" applyBorder="1" applyAlignment="1">
      <alignment horizontal="center" vertical="center" wrapText="1"/>
    </xf>
    <xf numFmtId="10" fontId="18" fillId="10" borderId="13" xfId="1" applyNumberFormat="1" applyFont="1" applyFill="1" applyBorder="1" applyAlignment="1">
      <alignment vertical="center"/>
    </xf>
    <xf numFmtId="0" fontId="15" fillId="11" borderId="9" xfId="1" applyFont="1" applyFill="1" applyBorder="1" applyAlignment="1">
      <alignment horizontal="center" vertical="center" wrapText="1"/>
    </xf>
    <xf numFmtId="10" fontId="18" fillId="11" borderId="10" xfId="1" applyNumberFormat="1" applyFont="1" applyFill="1" applyBorder="1" applyAlignment="1">
      <alignment vertical="center"/>
    </xf>
    <xf numFmtId="10" fontId="18" fillId="11" borderId="12" xfId="17" applyNumberFormat="1" applyFont="1" applyFill="1" applyBorder="1" applyAlignment="1" applyProtection="1">
      <alignment vertical="center"/>
    </xf>
    <xf numFmtId="10" fontId="2" fillId="2" borderId="0" xfId="1" applyNumberFormat="1" applyFill="1" applyAlignment="1">
      <alignment vertical="center"/>
    </xf>
    <xf numFmtId="0" fontId="16" fillId="4" borderId="20" xfId="1" applyFont="1" applyFill="1" applyBorder="1" applyAlignment="1">
      <alignment horizontal="center" vertical="center" wrapText="1"/>
    </xf>
    <xf numFmtId="10" fontId="18" fillId="4" borderId="21" xfId="1" applyNumberFormat="1" applyFont="1" applyFill="1" applyBorder="1" applyAlignment="1">
      <alignment vertical="center"/>
    </xf>
    <xf numFmtId="0" fontId="13" fillId="7" borderId="22" xfId="1" applyFont="1" applyFill="1" applyBorder="1" applyAlignment="1">
      <alignment vertical="center" wrapText="1"/>
    </xf>
    <xf numFmtId="10" fontId="13" fillId="7" borderId="18" xfId="1" applyNumberFormat="1" applyFont="1" applyFill="1" applyBorder="1" applyAlignment="1">
      <alignment vertical="center" wrapText="1"/>
    </xf>
    <xf numFmtId="0" fontId="3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5" fillId="2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10" fontId="5" fillId="0" borderId="0" xfId="17" applyNumberFormat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5" fillId="4" borderId="5" xfId="1" applyFont="1" applyFill="1" applyBorder="1" applyAlignment="1">
      <alignment vertical="center" wrapText="1"/>
    </xf>
    <xf numFmtId="10" fontId="43" fillId="4" borderId="5" xfId="17" applyNumberFormat="1" applyFont="1" applyFill="1" applyBorder="1" applyAlignment="1" applyProtection="1">
      <alignment vertical="center"/>
    </xf>
    <xf numFmtId="164" fontId="5" fillId="4" borderId="5" xfId="2" applyFont="1" applyFill="1" applyBorder="1" applyAlignment="1" applyProtection="1">
      <alignment vertical="center"/>
    </xf>
    <xf numFmtId="0" fontId="5" fillId="2" borderId="5" xfId="1" applyFont="1" applyFill="1" applyBorder="1" applyAlignment="1">
      <alignment wrapText="1"/>
    </xf>
    <xf numFmtId="0" fontId="3" fillId="3" borderId="5" xfId="1" applyFont="1" applyFill="1" applyBorder="1" applyAlignment="1">
      <alignment horizontal="left" vertical="center" wrapText="1"/>
    </xf>
    <xf numFmtId="9" fontId="41" fillId="3" borderId="5" xfId="17" applyFont="1" applyFill="1" applyBorder="1" applyAlignment="1" applyProtection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5" borderId="5" xfId="1" applyFont="1" applyFill="1" applyBorder="1" applyAlignment="1">
      <alignment vertical="center" wrapText="1"/>
    </xf>
    <xf numFmtId="9" fontId="42" fillId="5" borderId="5" xfId="17" applyFont="1" applyFill="1" applyBorder="1" applyAlignment="1" applyProtection="1">
      <alignment vertical="center"/>
    </xf>
    <xf numFmtId="164" fontId="3" fillId="5" borderId="5" xfId="2" applyFont="1" applyFill="1" applyBorder="1" applyAlignment="1" applyProtection="1">
      <alignment horizontal="center" vertical="center"/>
    </xf>
    <xf numFmtId="168" fontId="43" fillId="4" borderId="5" xfId="17" applyNumberFormat="1" applyFont="1" applyFill="1" applyBorder="1" applyAlignment="1" applyProtection="1">
      <alignment vertical="center"/>
    </xf>
    <xf numFmtId="0" fontId="41" fillId="4" borderId="5" xfId="1" applyFont="1" applyFill="1" applyBorder="1" applyAlignment="1">
      <alignment vertical="center"/>
    </xf>
    <xf numFmtId="0" fontId="3" fillId="6" borderId="5" xfId="1" applyFont="1" applyFill="1" applyBorder="1" applyAlignment="1">
      <alignment vertical="center" wrapText="1"/>
    </xf>
    <xf numFmtId="0" fontId="41" fillId="6" borderId="5" xfId="1" applyFont="1" applyFill="1" applyBorder="1" applyAlignment="1">
      <alignment vertical="center"/>
    </xf>
    <xf numFmtId="164" fontId="3" fillId="6" borderId="5" xfId="1" applyNumberFormat="1" applyFont="1" applyFill="1" applyBorder="1" applyAlignment="1">
      <alignment vertical="center"/>
    </xf>
    <xf numFmtId="0" fontId="3" fillId="4" borderId="5" xfId="1" applyFont="1" applyFill="1" applyBorder="1" applyAlignment="1">
      <alignment vertical="center" wrapText="1"/>
    </xf>
    <xf numFmtId="164" fontId="3" fillId="4" borderId="5" xfId="1" applyNumberFormat="1" applyFont="1" applyFill="1" applyBorder="1" applyAlignment="1">
      <alignment vertical="center"/>
    </xf>
    <xf numFmtId="0" fontId="3" fillId="7" borderId="5" xfId="1" applyFont="1" applyFill="1" applyBorder="1" applyAlignment="1">
      <alignment horizontal="left" vertical="center" wrapText="1"/>
    </xf>
    <xf numFmtId="9" fontId="41" fillId="7" borderId="5" xfId="17" applyFont="1" applyFill="1" applyBorder="1" applyAlignment="1" applyProtection="1">
      <alignment horizontal="center" vertical="center"/>
    </xf>
    <xf numFmtId="0" fontId="3" fillId="7" borderId="5" xfId="1" applyFont="1" applyFill="1" applyBorder="1" applyAlignment="1">
      <alignment horizontal="center" vertical="center"/>
    </xf>
    <xf numFmtId="10" fontId="41" fillId="5" borderId="5" xfId="17" applyNumberFormat="1" applyFont="1" applyFill="1" applyBorder="1" applyAlignment="1" applyProtection="1">
      <alignment vertical="center"/>
    </xf>
    <xf numFmtId="10" fontId="43" fillId="4" borderId="5" xfId="1" applyNumberFormat="1" applyFont="1" applyFill="1" applyBorder="1" applyAlignment="1">
      <alignment vertical="center"/>
    </xf>
    <xf numFmtId="164" fontId="5" fillId="4" borderId="5" xfId="1" applyNumberFormat="1" applyFont="1" applyFill="1" applyBorder="1" applyAlignment="1">
      <alignment vertical="center"/>
    </xf>
    <xf numFmtId="0" fontId="3" fillId="10" borderId="5" xfId="1" applyFont="1" applyFill="1" applyBorder="1" applyAlignment="1">
      <alignment horizontal="center" vertical="center" wrapText="1"/>
    </xf>
    <xf numFmtId="164" fontId="3" fillId="10" borderId="5" xfId="1" applyNumberFormat="1" applyFont="1" applyFill="1" applyBorder="1" applyAlignment="1">
      <alignment vertical="center"/>
    </xf>
    <xf numFmtId="0" fontId="5" fillId="4" borderId="5" xfId="1" applyFont="1" applyFill="1" applyBorder="1" applyAlignment="1">
      <alignment horizontal="left" vertical="center" wrapText="1"/>
    </xf>
    <xf numFmtId="10" fontId="5" fillId="4" borderId="5" xfId="1" applyNumberFormat="1" applyFont="1" applyFill="1" applyBorder="1" applyAlignment="1">
      <alignment horizontal="right" vertical="center" wrapText="1"/>
    </xf>
    <xf numFmtId="10" fontId="3" fillId="6" borderId="5" xfId="1" applyNumberFormat="1" applyFont="1" applyFill="1" applyBorder="1" applyAlignment="1">
      <alignment horizontal="right" vertical="center" wrapText="1"/>
    </xf>
    <xf numFmtId="0" fontId="3" fillId="9" borderId="5" xfId="1" applyFont="1" applyFill="1" applyBorder="1" applyAlignment="1">
      <alignment horizontal="left" vertical="center" wrapText="1"/>
    </xf>
    <xf numFmtId="10" fontId="3" fillId="9" borderId="5" xfId="1" applyNumberFormat="1" applyFont="1" applyFill="1" applyBorder="1" applyAlignment="1">
      <alignment horizontal="right" vertical="center" wrapText="1"/>
    </xf>
    <xf numFmtId="164" fontId="3" fillId="9" borderId="5" xfId="1" applyNumberFormat="1" applyFont="1" applyFill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169" fontId="43" fillId="4" borderId="5" xfId="17" applyNumberFormat="1" applyFont="1" applyFill="1" applyBorder="1" applyAlignment="1" applyProtection="1">
      <alignment vertical="center"/>
    </xf>
    <xf numFmtId="0" fontId="5" fillId="11" borderId="5" xfId="1" applyFont="1" applyFill="1" applyBorder="1" applyAlignment="1">
      <alignment vertical="center" wrapText="1"/>
    </xf>
    <xf numFmtId="10" fontId="43" fillId="11" borderId="5" xfId="17" applyNumberFormat="1" applyFont="1" applyFill="1" applyBorder="1" applyAlignment="1" applyProtection="1">
      <alignment vertical="center"/>
    </xf>
    <xf numFmtId="164" fontId="5" fillId="11" borderId="5" xfId="2" applyFont="1" applyFill="1" applyBorder="1" applyAlignment="1" applyProtection="1">
      <alignment vertical="center"/>
    </xf>
    <xf numFmtId="0" fontId="5" fillId="4" borderId="5" xfId="1" applyFont="1" applyFill="1" applyBorder="1" applyAlignment="1">
      <alignment horizontal="center" vertical="center" wrapText="1"/>
    </xf>
    <xf numFmtId="164" fontId="3" fillId="4" borderId="5" xfId="2" applyFont="1" applyFill="1" applyBorder="1" applyAlignment="1" applyProtection="1">
      <alignment vertical="center"/>
    </xf>
    <xf numFmtId="0" fontId="3" fillId="5" borderId="5" xfId="1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1" fontId="3" fillId="8" borderId="5" xfId="0" applyNumberFormat="1" applyFont="1" applyFill="1" applyBorder="1" applyAlignment="1">
      <alignment horizontal="center" vertical="center" wrapText="1"/>
    </xf>
    <xf numFmtId="43" fontId="5" fillId="0" borderId="0" xfId="1" applyNumberFormat="1" applyFont="1" applyAlignment="1">
      <alignment vertical="center"/>
    </xf>
    <xf numFmtId="0" fontId="48" fillId="0" borderId="0" xfId="0" applyFont="1" applyAlignment="1">
      <alignment vertical="center" wrapText="1"/>
    </xf>
    <xf numFmtId="0" fontId="49" fillId="0" borderId="0" xfId="0" applyFont="1" applyAlignment="1">
      <alignment vertical="center" wrapText="1"/>
    </xf>
    <xf numFmtId="0" fontId="3" fillId="10" borderId="7" xfId="1" applyFont="1" applyFill="1" applyBorder="1" applyAlignment="1">
      <alignment horizontal="center" vertical="center" wrapText="1"/>
    </xf>
    <xf numFmtId="164" fontId="3" fillId="10" borderId="7" xfId="1" applyNumberFormat="1" applyFont="1" applyFill="1" applyBorder="1" applyAlignment="1">
      <alignment vertical="center"/>
    </xf>
    <xf numFmtId="0" fontId="46" fillId="0" borderId="0" xfId="0" applyFont="1" applyAlignment="1">
      <alignment vertical="center" wrapText="1"/>
    </xf>
    <xf numFmtId="0" fontId="3" fillId="6" borderId="7" xfId="1" applyFont="1" applyFill="1" applyBorder="1" applyAlignment="1">
      <alignment horizontal="center" vertical="center" wrapText="1"/>
    </xf>
    <xf numFmtId="0" fontId="41" fillId="6" borderId="7" xfId="1" applyFont="1" applyFill="1" applyBorder="1" applyAlignment="1">
      <alignment vertical="center"/>
    </xf>
    <xf numFmtId="164" fontId="3" fillId="6" borderId="7" xfId="1" applyNumberFormat="1" applyFont="1" applyFill="1" applyBorder="1" applyAlignment="1">
      <alignment vertical="center"/>
    </xf>
    <xf numFmtId="0" fontId="50" fillId="0" borderId="0" xfId="0" applyFont="1" applyAlignment="1">
      <alignment vertical="center"/>
    </xf>
    <xf numFmtId="0" fontId="47" fillId="0" borderId="0" xfId="0" applyFont="1" applyAlignment="1">
      <alignment vertical="center" wrapText="1"/>
    </xf>
    <xf numFmtId="172" fontId="10" fillId="14" borderId="5" xfId="66" applyNumberFormat="1" applyFont="1" applyFill="1" applyBorder="1" applyAlignment="1">
      <alignment vertical="center"/>
    </xf>
    <xf numFmtId="172" fontId="9" fillId="0" borderId="5" xfId="66" applyNumberFormat="1" applyFont="1" applyBorder="1"/>
    <xf numFmtId="0" fontId="9" fillId="0" borderId="5" xfId="0" applyFont="1" applyBorder="1" applyAlignment="1">
      <alignment horizontal="center"/>
    </xf>
    <xf numFmtId="0" fontId="51" fillId="0" borderId="0" xfId="0" applyFont="1"/>
    <xf numFmtId="10" fontId="5" fillId="0" borderId="0" xfId="1" applyNumberFormat="1" applyFont="1" applyAlignment="1">
      <alignment vertical="center"/>
    </xf>
    <xf numFmtId="10" fontId="52" fillId="10" borderId="7" xfId="1" applyNumberFormat="1" applyFont="1" applyFill="1" applyBorder="1" applyAlignment="1">
      <alignment vertical="center"/>
    </xf>
    <xf numFmtId="10" fontId="53" fillId="4" borderId="5" xfId="17" applyNumberFormat="1" applyFont="1" applyFill="1" applyBorder="1" applyAlignment="1" applyProtection="1">
      <alignment vertical="center"/>
    </xf>
    <xf numFmtId="164" fontId="53" fillId="4" borderId="5" xfId="2" applyFont="1" applyFill="1" applyBorder="1" applyAlignment="1" applyProtection="1">
      <alignment vertical="center"/>
    </xf>
    <xf numFmtId="167" fontId="5" fillId="0" borderId="0" xfId="1" applyNumberFormat="1" applyFont="1" applyAlignment="1">
      <alignment vertical="center"/>
    </xf>
    <xf numFmtId="0" fontId="4" fillId="2" borderId="0" xfId="1" applyFont="1" applyFill="1" applyAlignment="1">
      <alignment vertical="center" wrapText="1"/>
    </xf>
    <xf numFmtId="0" fontId="34" fillId="2" borderId="0" xfId="1" applyFont="1" applyFill="1" applyAlignment="1">
      <alignment vertical="center"/>
    </xf>
    <xf numFmtId="0" fontId="21" fillId="2" borderId="5" xfId="1" applyFont="1" applyFill="1" applyBorder="1" applyAlignment="1">
      <alignment horizontal="center" vertical="center"/>
    </xf>
    <xf numFmtId="0" fontId="35" fillId="11" borderId="3" xfId="1" applyFont="1" applyFill="1" applyBorder="1" applyAlignment="1">
      <alignment horizontal="center" vertical="center" wrapText="1"/>
    </xf>
    <xf numFmtId="0" fontId="35" fillId="11" borderId="5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vertical="center" wrapText="1"/>
    </xf>
    <xf numFmtId="0" fontId="11" fillId="2" borderId="0" xfId="1" applyFont="1" applyFill="1" applyAlignment="1">
      <alignment vertical="center"/>
    </xf>
    <xf numFmtId="4" fontId="20" fillId="2" borderId="0" xfId="1" applyNumberFormat="1" applyFont="1" applyFill="1" applyAlignment="1">
      <alignment vertical="center" wrapText="1"/>
    </xf>
    <xf numFmtId="0" fontId="21" fillId="2" borderId="0" xfId="1" applyFont="1" applyFill="1" applyAlignment="1">
      <alignment vertical="center" wrapText="1"/>
    </xf>
    <xf numFmtId="0" fontId="21" fillId="2" borderId="0" xfId="1" applyFont="1" applyFill="1" applyAlignment="1">
      <alignment vertical="center"/>
    </xf>
    <xf numFmtId="0" fontId="36" fillId="2" borderId="0" xfId="1" applyFont="1" applyFill="1" applyAlignment="1">
      <alignment vertical="center"/>
    </xf>
    <xf numFmtId="0" fontId="37" fillId="2" borderId="0" xfId="1" applyFont="1" applyFill="1" applyAlignment="1">
      <alignment horizontal="center" vertical="center"/>
    </xf>
    <xf numFmtId="0" fontId="21" fillId="2" borderId="0" xfId="1" applyFont="1" applyFill="1" applyAlignment="1">
      <alignment horizontal="center" vertical="center"/>
    </xf>
    <xf numFmtId="0" fontId="20" fillId="2" borderId="0" xfId="1" applyFont="1" applyFill="1" applyAlignment="1">
      <alignment horizontal="center" vertical="center" wrapText="1"/>
    </xf>
    <xf numFmtId="0" fontId="21" fillId="2" borderId="0" xfId="1" applyFont="1" applyFill="1" applyAlignment="1">
      <alignment horizontal="center" vertical="center" wrapText="1"/>
    </xf>
    <xf numFmtId="4" fontId="11" fillId="2" borderId="3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3" fontId="11" fillId="11" borderId="6" xfId="1" applyNumberFormat="1" applyFont="1" applyFill="1" applyBorder="1" applyAlignment="1">
      <alignment horizontal="center" vertical="center"/>
    </xf>
    <xf numFmtId="4" fontId="36" fillId="2" borderId="5" xfId="1" applyNumberFormat="1" applyFont="1" applyFill="1" applyBorder="1" applyAlignment="1">
      <alignment vertical="center"/>
    </xf>
    <xf numFmtId="171" fontId="10" fillId="0" borderId="5" xfId="0" applyNumberFormat="1" applyFont="1" applyBorder="1" applyAlignment="1">
      <alignment horizontal="center" vertical="center"/>
    </xf>
    <xf numFmtId="172" fontId="10" fillId="0" borderId="5" xfId="66" applyNumberFormat="1" applyFont="1" applyBorder="1" applyAlignment="1">
      <alignment vertical="center"/>
    </xf>
    <xf numFmtId="0" fontId="0" fillId="0" borderId="0" xfId="0" applyAlignment="1">
      <alignment vertical="center"/>
    </xf>
    <xf numFmtId="167" fontId="0" fillId="0" borderId="0" xfId="0" applyNumberFormat="1" applyAlignment="1">
      <alignment vertical="center"/>
    </xf>
    <xf numFmtId="171" fontId="8" fillId="0" borderId="5" xfId="0" applyNumberFormat="1" applyFont="1" applyBorder="1" applyAlignment="1">
      <alignment horizontal="center" vertical="center" wrapText="1"/>
    </xf>
    <xf numFmtId="10" fontId="55" fillId="10" borderId="13" xfId="1" applyNumberFormat="1" applyFont="1" applyFill="1" applyBorder="1" applyAlignment="1">
      <alignment vertical="center"/>
    </xf>
    <xf numFmtId="10" fontId="55" fillId="4" borderId="13" xfId="1" applyNumberFormat="1" applyFont="1" applyFill="1" applyBorder="1" applyAlignment="1">
      <alignment vertical="center"/>
    </xf>
    <xf numFmtId="10" fontId="52" fillId="10" borderId="5" xfId="1" applyNumberFormat="1" applyFont="1" applyFill="1" applyBorder="1" applyAlignment="1">
      <alignment vertical="center"/>
    </xf>
    <xf numFmtId="3" fontId="21" fillId="2" borderId="0" xfId="1" applyNumberFormat="1" applyFont="1" applyFill="1" applyAlignment="1">
      <alignment vertical="center"/>
    </xf>
    <xf numFmtId="4" fontId="21" fillId="2" borderId="0" xfId="1" applyNumberFormat="1" applyFont="1" applyFill="1" applyAlignment="1">
      <alignment vertical="center"/>
    </xf>
    <xf numFmtId="0" fontId="36" fillId="2" borderId="5" xfId="1" applyFont="1" applyFill="1" applyBorder="1" applyAlignment="1">
      <alignment horizontal="center" vertical="center" wrapText="1"/>
    </xf>
    <xf numFmtId="0" fontId="36" fillId="11" borderId="5" xfId="1" applyFont="1" applyFill="1" applyBorder="1" applyAlignment="1">
      <alignment horizontal="center" vertical="center" wrapText="1"/>
    </xf>
    <xf numFmtId="4" fontId="36" fillId="2" borderId="3" xfId="1" applyNumberFormat="1" applyFont="1" applyFill="1" applyBorder="1" applyAlignment="1">
      <alignment horizontal="center" vertical="center" wrapText="1"/>
    </xf>
    <xf numFmtId="4" fontId="36" fillId="2" borderId="5" xfId="1" applyNumberFormat="1" applyFont="1" applyFill="1" applyBorder="1" applyAlignment="1">
      <alignment horizontal="center" vertical="center"/>
    </xf>
    <xf numFmtId="0" fontId="11" fillId="2" borderId="5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vertical="center" wrapText="1"/>
    </xf>
    <xf numFmtId="0" fontId="2" fillId="2" borderId="5" xfId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center" wrapText="1"/>
    </xf>
    <xf numFmtId="171" fontId="8" fillId="0" borderId="2" xfId="0" applyNumberFormat="1" applyFont="1" applyBorder="1" applyAlignment="1">
      <alignment horizontal="center" wrapText="1"/>
    </xf>
    <xf numFmtId="171" fontId="8" fillId="0" borderId="3" xfId="0" applyNumberFormat="1" applyFont="1" applyBorder="1" applyAlignment="1">
      <alignment horizontal="center" wrapText="1"/>
    </xf>
    <xf numFmtId="0" fontId="36" fillId="2" borderId="5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0" fontId="54" fillId="0" borderId="5" xfId="0" applyFont="1" applyBorder="1" applyAlignment="1">
      <alignment vertical="center" wrapText="1"/>
    </xf>
    <xf numFmtId="0" fontId="54" fillId="0" borderId="5" xfId="0" applyFont="1" applyBorder="1" applyAlignment="1">
      <alignment vertical="center"/>
    </xf>
    <xf numFmtId="3" fontId="36" fillId="2" borderId="5" xfId="1" applyNumberFormat="1" applyFont="1" applyFill="1" applyBorder="1" applyAlignment="1">
      <alignment horizontal="center" vertical="center"/>
    </xf>
    <xf numFmtId="0" fontId="11" fillId="11" borderId="5" xfId="1" applyFont="1" applyFill="1" applyBorder="1" applyAlignment="1">
      <alignment horizontal="center" vertical="center"/>
    </xf>
    <xf numFmtId="0" fontId="2" fillId="2" borderId="0" xfId="1" applyFill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6" borderId="5" xfId="1" applyFont="1" applyFill="1" applyBorder="1" applyAlignment="1">
      <alignment horizontal="center" vertical="center" wrapText="1"/>
    </xf>
    <xf numFmtId="0" fontId="3" fillId="5" borderId="5" xfId="1" applyFont="1" applyFill="1" applyBorder="1" applyAlignment="1">
      <alignment horizontal="left" vertical="center" wrapText="1"/>
    </xf>
    <xf numFmtId="0" fontId="56" fillId="2" borderId="5" xfId="1" applyFont="1" applyFill="1" applyBorder="1" applyAlignment="1">
      <alignment horizontal="center" vertical="center" wrapText="1"/>
    </xf>
    <xf numFmtId="0" fontId="57" fillId="2" borderId="0" xfId="1" applyFont="1" applyFill="1" applyAlignment="1">
      <alignment horizontal="center" vertical="center"/>
    </xf>
    <xf numFmtId="0" fontId="11" fillId="2" borderId="5" xfId="1" applyFont="1" applyFill="1" applyBorder="1" applyAlignment="1">
      <alignment horizontal="center" vertical="center"/>
    </xf>
    <xf numFmtId="4" fontId="5" fillId="0" borderId="0" xfId="1" applyNumberFormat="1" applyFont="1" applyAlignment="1">
      <alignment vertical="center"/>
    </xf>
    <xf numFmtId="164" fontId="5" fillId="4" borderId="5" xfId="2" applyFont="1" applyFill="1" applyBorder="1" applyAlignment="1" applyProtection="1">
      <alignment horizontal="center" vertical="center"/>
    </xf>
    <xf numFmtId="2" fontId="5" fillId="0" borderId="0" xfId="1" applyNumberFormat="1" applyFont="1" applyAlignment="1">
      <alignment vertical="center"/>
    </xf>
    <xf numFmtId="0" fontId="58" fillId="15" borderId="26" xfId="0" applyFont="1" applyFill="1" applyBorder="1" applyAlignment="1">
      <alignment horizontal="center" vertical="center" wrapText="1"/>
    </xf>
    <xf numFmtId="0" fontId="58" fillId="15" borderId="27" xfId="0" applyFont="1" applyFill="1" applyBorder="1" applyAlignment="1">
      <alignment horizontal="center" vertical="center" wrapText="1"/>
    </xf>
    <xf numFmtId="0" fontId="59" fillId="0" borderId="24" xfId="0" applyFont="1" applyBorder="1" applyAlignment="1">
      <alignment horizontal="center" vertical="center"/>
    </xf>
    <xf numFmtId="0" fontId="59" fillId="0" borderId="27" xfId="0" applyFont="1" applyBorder="1" applyAlignment="1">
      <alignment horizontal="justify" vertical="center"/>
    </xf>
    <xf numFmtId="0" fontId="59" fillId="0" borderId="27" xfId="0" applyFont="1" applyBorder="1" applyAlignment="1">
      <alignment horizontal="center" vertical="center"/>
    </xf>
    <xf numFmtId="0" fontId="59" fillId="0" borderId="27" xfId="0" applyFont="1" applyBorder="1" applyAlignment="1">
      <alignment horizontal="left" vertical="center"/>
    </xf>
    <xf numFmtId="0" fontId="58" fillId="0" borderId="27" xfId="0" applyFont="1" applyBorder="1" applyAlignment="1">
      <alignment horizontal="center" vertical="center"/>
    </xf>
    <xf numFmtId="0" fontId="60" fillId="15" borderId="24" xfId="0" applyFont="1" applyFill="1" applyBorder="1" applyAlignment="1">
      <alignment horizontal="center" vertical="center"/>
    </xf>
    <xf numFmtId="0" fontId="60" fillId="15" borderId="27" xfId="0" applyFont="1" applyFill="1" applyBorder="1" applyAlignment="1">
      <alignment horizontal="center" vertical="center" wrapText="1"/>
    </xf>
    <xf numFmtId="0" fontId="61" fillId="0" borderId="24" xfId="0" applyFont="1" applyBorder="1" applyAlignment="1">
      <alignment horizontal="center" vertical="center"/>
    </xf>
    <xf numFmtId="0" fontId="61" fillId="0" borderId="27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4" fontId="0" fillId="0" borderId="0" xfId="0" applyNumberFormat="1"/>
    <xf numFmtId="4" fontId="61" fillId="16" borderId="27" xfId="0" applyNumberFormat="1" applyFont="1" applyFill="1" applyBorder="1" applyAlignment="1">
      <alignment horizontal="center" vertical="center" wrapText="1"/>
    </xf>
    <xf numFmtId="4" fontId="61" fillId="0" borderId="27" xfId="0" applyNumberFormat="1" applyFont="1" applyBorder="1" applyAlignment="1">
      <alignment horizontal="center" vertical="center" wrapText="1"/>
    </xf>
    <xf numFmtId="0" fontId="61" fillId="0" borderId="27" xfId="0" applyFont="1" applyBorder="1" applyAlignment="1">
      <alignment horizontal="center" vertical="center"/>
    </xf>
    <xf numFmtId="0" fontId="61" fillId="15" borderId="24" xfId="0" applyFont="1" applyFill="1" applyBorder="1" applyAlignment="1">
      <alignment horizontal="center" vertical="center"/>
    </xf>
    <xf numFmtId="0" fontId="60" fillId="15" borderId="27" xfId="0" applyFont="1" applyFill="1" applyBorder="1" applyAlignment="1">
      <alignment horizontal="left" vertical="center" wrapText="1"/>
    </xf>
    <xf numFmtId="4" fontId="60" fillId="15" borderId="27" xfId="0" applyNumberFormat="1" applyFont="1" applyFill="1" applyBorder="1" applyAlignment="1">
      <alignment horizontal="center" vertical="center" wrapText="1"/>
    </xf>
    <xf numFmtId="0" fontId="61" fillId="15" borderId="27" xfId="0" applyFont="1" applyFill="1" applyBorder="1" applyAlignment="1">
      <alignment horizontal="center" vertical="center"/>
    </xf>
    <xf numFmtId="43" fontId="61" fillId="0" borderId="27" xfId="0" applyNumberFormat="1" applyFont="1" applyBorder="1" applyAlignment="1">
      <alignment horizontal="center" vertical="center"/>
    </xf>
    <xf numFmtId="0" fontId="5" fillId="4" borderId="1" xfId="1" applyFont="1" applyFill="1" applyBorder="1" applyAlignment="1">
      <alignment vertical="center" wrapText="1"/>
    </xf>
    <xf numFmtId="164" fontId="5" fillId="4" borderId="3" xfId="2" applyFont="1" applyFill="1" applyBorder="1" applyAlignment="1" applyProtection="1">
      <alignment vertical="center"/>
    </xf>
    <xf numFmtId="10" fontId="18" fillId="4" borderId="5" xfId="17" applyNumberFormat="1" applyFont="1" applyFill="1" applyBorder="1" applyAlignment="1" applyProtection="1">
      <alignment vertical="center"/>
    </xf>
    <xf numFmtId="0" fontId="64" fillId="17" borderId="33" xfId="68" applyFont="1" applyFill="1" applyBorder="1" applyAlignment="1">
      <alignment horizontal="center" vertical="top" wrapText="1"/>
    </xf>
    <xf numFmtId="0" fontId="64" fillId="17" borderId="33" xfId="68" applyFont="1" applyFill="1" applyBorder="1" applyAlignment="1">
      <alignment horizontal="left" vertical="top" wrapText="1" indent="6"/>
    </xf>
    <xf numFmtId="0" fontId="64" fillId="17" borderId="33" xfId="68" applyFont="1" applyFill="1" applyBorder="1" applyAlignment="1">
      <alignment horizontal="left" vertical="top" wrapText="1" indent="1"/>
    </xf>
    <xf numFmtId="0" fontId="63" fillId="0" borderId="0" xfId="68" applyAlignment="1">
      <alignment horizontal="left" vertical="top"/>
    </xf>
    <xf numFmtId="0" fontId="66" fillId="0" borderId="33" xfId="68" applyFont="1" applyBorder="1" applyAlignment="1">
      <alignment horizontal="left" vertical="center" wrapText="1"/>
    </xf>
    <xf numFmtId="0" fontId="64" fillId="0" borderId="31" xfId="68" applyFont="1" applyBorder="1" applyAlignment="1">
      <alignment horizontal="left" vertical="top" wrapText="1"/>
    </xf>
    <xf numFmtId="2" fontId="69" fillId="0" borderId="32" xfId="68" applyNumberFormat="1" applyFont="1" applyBorder="1" applyAlignment="1">
      <alignment horizontal="right" vertical="top" shrinkToFit="1"/>
    </xf>
    <xf numFmtId="0" fontId="70" fillId="0" borderId="0" xfId="69" applyAlignment="1">
      <alignment horizontal="left" vertical="top"/>
    </xf>
    <xf numFmtId="0" fontId="72" fillId="17" borderId="33" xfId="69" applyFont="1" applyFill="1" applyBorder="1" applyAlignment="1">
      <alignment horizontal="center" vertical="top" wrapText="1"/>
    </xf>
    <xf numFmtId="0" fontId="73" fillId="17" borderId="33" xfId="69" applyFont="1" applyFill="1" applyBorder="1" applyAlignment="1">
      <alignment horizontal="center" vertical="center" wrapText="1"/>
    </xf>
    <xf numFmtId="0" fontId="73" fillId="17" borderId="32" xfId="69" applyFont="1" applyFill="1" applyBorder="1" applyAlignment="1">
      <alignment horizontal="center" vertical="center" wrapText="1"/>
    </xf>
    <xf numFmtId="0" fontId="74" fillId="0" borderId="33" xfId="69" applyFont="1" applyBorder="1" applyAlignment="1">
      <alignment horizontal="left" vertical="top" wrapText="1"/>
    </xf>
    <xf numFmtId="0" fontId="74" fillId="0" borderId="33" xfId="69" applyFont="1" applyBorder="1" applyAlignment="1">
      <alignment horizontal="left" vertical="center" wrapText="1" indent="1"/>
    </xf>
    <xf numFmtId="1" fontId="75" fillId="0" borderId="33" xfId="69" applyNumberFormat="1" applyFont="1" applyBorder="1" applyAlignment="1">
      <alignment horizontal="center" vertical="center" shrinkToFit="1"/>
    </xf>
    <xf numFmtId="1" fontId="77" fillId="0" borderId="33" xfId="69" applyNumberFormat="1" applyFont="1" applyBorder="1" applyAlignment="1">
      <alignment horizontal="center" vertical="center" shrinkToFit="1"/>
    </xf>
    <xf numFmtId="0" fontId="74" fillId="0" borderId="33" xfId="69" applyFont="1" applyBorder="1" applyAlignment="1">
      <alignment horizontal="left" vertical="top" wrapText="1" indent="1"/>
    </xf>
    <xf numFmtId="1" fontId="75" fillId="0" borderId="33" xfId="69" applyNumberFormat="1" applyFont="1" applyBorder="1" applyAlignment="1">
      <alignment horizontal="center" vertical="top" shrinkToFit="1"/>
    </xf>
    <xf numFmtId="2" fontId="70" fillId="0" borderId="0" xfId="69" applyNumberFormat="1" applyAlignment="1">
      <alignment horizontal="left" vertical="top"/>
    </xf>
    <xf numFmtId="167" fontId="62" fillId="0" borderId="32" xfId="69" applyNumberFormat="1" applyFont="1" applyBorder="1" applyAlignment="1">
      <alignment horizontal="right" vertical="center" shrinkToFit="1"/>
    </xf>
    <xf numFmtId="167" fontId="76" fillId="0" borderId="32" xfId="69" applyNumberFormat="1" applyFont="1" applyBorder="1" applyAlignment="1">
      <alignment horizontal="right" vertical="center" shrinkToFit="1"/>
    </xf>
    <xf numFmtId="167" fontId="62" fillId="0" borderId="32" xfId="69" applyNumberFormat="1" applyFont="1" applyBorder="1" applyAlignment="1">
      <alignment horizontal="right" vertical="top" shrinkToFit="1"/>
    </xf>
    <xf numFmtId="167" fontId="77" fillId="0" borderId="32" xfId="69" applyNumberFormat="1" applyFont="1" applyBorder="1" applyAlignment="1">
      <alignment horizontal="right" vertical="top" shrinkToFit="1"/>
    </xf>
    <xf numFmtId="167" fontId="77" fillId="17" borderId="32" xfId="69" applyNumberFormat="1" applyFont="1" applyFill="1" applyBorder="1" applyAlignment="1">
      <alignment horizontal="right" vertical="top" shrinkToFit="1"/>
    </xf>
    <xf numFmtId="0" fontId="31" fillId="2" borderId="0" xfId="1" applyFont="1" applyFill="1" applyAlignment="1">
      <alignment horizontal="left" vertical="center" wrapText="1"/>
    </xf>
    <xf numFmtId="0" fontId="31" fillId="2" borderId="0" xfId="1" applyFont="1" applyFill="1" applyAlignment="1">
      <alignment horizontal="justify" vertical="justify" wrapText="1"/>
    </xf>
    <xf numFmtId="0" fontId="29" fillId="2" borderId="0" xfId="1" applyFont="1" applyFill="1" applyAlignment="1">
      <alignment horizontal="justify" vertical="center" wrapText="1"/>
    </xf>
    <xf numFmtId="0" fontId="79" fillId="0" borderId="0" xfId="1" applyFont="1"/>
    <xf numFmtId="0" fontId="82" fillId="0" borderId="0" xfId="1" applyFont="1"/>
    <xf numFmtId="0" fontId="29" fillId="2" borderId="0" xfId="1" applyFont="1" applyFill="1" applyAlignment="1">
      <alignment vertical="center" wrapText="1"/>
    </xf>
    <xf numFmtId="0" fontId="21" fillId="2" borderId="3" xfId="1" applyFont="1" applyFill="1" applyBorder="1" applyAlignment="1">
      <alignment horizontal="center" vertical="center"/>
    </xf>
    <xf numFmtId="0" fontId="34" fillId="0" borderId="0" xfId="1" applyFont="1"/>
    <xf numFmtId="0" fontId="2" fillId="2" borderId="5" xfId="1" applyFill="1" applyBorder="1" applyAlignment="1">
      <alignment horizontal="center" vertical="center"/>
    </xf>
    <xf numFmtId="0" fontId="2" fillId="2" borderId="3" xfId="1" applyFill="1" applyBorder="1" applyAlignment="1">
      <alignment horizontal="center" vertical="center" wrapText="1"/>
    </xf>
    <xf numFmtId="3" fontId="2" fillId="2" borderId="3" xfId="1" applyNumberFormat="1" applyFill="1" applyBorder="1" applyAlignment="1">
      <alignment horizontal="center" vertical="center" wrapText="1"/>
    </xf>
    <xf numFmtId="4" fontId="2" fillId="2" borderId="3" xfId="1" applyNumberFormat="1" applyFill="1" applyBorder="1" applyAlignment="1">
      <alignment horizontal="right" vertical="center" wrapText="1"/>
    </xf>
    <xf numFmtId="0" fontId="2" fillId="0" borderId="0" xfId="1"/>
    <xf numFmtId="0" fontId="83" fillId="8" borderId="2" xfId="1" applyFont="1" applyFill="1" applyBorder="1" applyAlignment="1">
      <alignment horizontal="center" vertical="center" wrapText="1"/>
    </xf>
    <xf numFmtId="3" fontId="83" fillId="8" borderId="5" xfId="1" applyNumberFormat="1" applyFont="1" applyFill="1" applyBorder="1" applyAlignment="1">
      <alignment horizontal="center" vertical="center" wrapText="1"/>
    </xf>
    <xf numFmtId="3" fontId="83" fillId="8" borderId="3" xfId="1" applyNumberFormat="1" applyFont="1" applyFill="1" applyBorder="1" applyAlignment="1">
      <alignment horizontal="center" vertical="center" wrapText="1"/>
    </xf>
    <xf numFmtId="4" fontId="83" fillId="8" borderId="5" xfId="1" applyNumberFormat="1" applyFont="1" applyFill="1" applyBorder="1" applyAlignment="1">
      <alignment horizontal="right" vertical="center"/>
    </xf>
    <xf numFmtId="0" fontId="85" fillId="0" borderId="0" xfId="1" applyFont="1"/>
    <xf numFmtId="4" fontId="83" fillId="0" borderId="5" xfId="1" applyNumberFormat="1" applyFont="1" applyBorder="1" applyAlignment="1">
      <alignment horizontal="center" vertical="center" wrapText="1"/>
    </xf>
    <xf numFmtId="0" fontId="83" fillId="0" borderId="5" xfId="1" applyFont="1" applyBorder="1" applyAlignment="1">
      <alignment horizontal="center" vertical="center" wrapText="1"/>
    </xf>
    <xf numFmtId="4" fontId="83" fillId="0" borderId="5" xfId="1" applyNumberFormat="1" applyFont="1" applyBorder="1" applyAlignment="1">
      <alignment horizontal="center" vertical="center"/>
    </xf>
    <xf numFmtId="0" fontId="29" fillId="0" borderId="0" xfId="1" applyFont="1"/>
    <xf numFmtId="0" fontId="29" fillId="0" borderId="36" xfId="1" applyFont="1" applyBorder="1"/>
    <xf numFmtId="0" fontId="31" fillId="2" borderId="39" xfId="1" applyFont="1" applyFill="1" applyBorder="1" applyAlignment="1">
      <alignment horizontal="justify" vertical="justify" wrapText="1"/>
    </xf>
    <xf numFmtId="0" fontId="31" fillId="2" borderId="40" xfId="1" applyFont="1" applyFill="1" applyBorder="1" applyAlignment="1">
      <alignment horizontal="justify" vertical="justify" wrapText="1"/>
    </xf>
    <xf numFmtId="0" fontId="31" fillId="2" borderId="36" xfId="1" applyFont="1" applyFill="1" applyBorder="1" applyAlignment="1">
      <alignment horizontal="justify" vertical="justify" wrapText="1"/>
    </xf>
    <xf numFmtId="0" fontId="11" fillId="0" borderId="36" xfId="1" applyFont="1" applyBorder="1"/>
    <xf numFmtId="0" fontId="31" fillId="2" borderId="41" xfId="1" applyFont="1" applyFill="1" applyBorder="1" applyAlignment="1">
      <alignment horizontal="justify" vertical="justify" wrapText="1"/>
    </xf>
    <xf numFmtId="0" fontId="67" fillId="0" borderId="33" xfId="68" applyFont="1" applyBorder="1" applyAlignment="1">
      <alignment horizontal="left" vertical="center" wrapText="1"/>
    </xf>
    <xf numFmtId="1" fontId="68" fillId="0" borderId="33" xfId="68" applyNumberFormat="1" applyFont="1" applyBorder="1" applyAlignment="1">
      <alignment horizontal="center" vertical="center" shrinkToFit="1"/>
    </xf>
    <xf numFmtId="0" fontId="66" fillId="0" borderId="31" xfId="68" applyFont="1" applyBorder="1" applyAlignment="1">
      <alignment horizontal="left" vertical="center" wrapText="1"/>
    </xf>
    <xf numFmtId="2" fontId="68" fillId="0" borderId="32" xfId="68" applyNumberFormat="1" applyFont="1" applyBorder="1" applyAlignment="1">
      <alignment horizontal="right" vertical="center" shrinkToFit="1"/>
    </xf>
    <xf numFmtId="0" fontId="74" fillId="0" borderId="33" xfId="69" applyFont="1" applyBorder="1" applyAlignment="1">
      <alignment horizontal="left" vertical="center" wrapText="1"/>
    </xf>
    <xf numFmtId="0" fontId="21" fillId="2" borderId="5" xfId="1" applyFont="1" applyFill="1" applyBorder="1" applyAlignment="1">
      <alignment horizontal="center" vertical="center" wrapText="1"/>
    </xf>
    <xf numFmtId="1" fontId="77" fillId="0" borderId="32" xfId="69" applyNumberFormat="1" applyFont="1" applyBorder="1" applyAlignment="1">
      <alignment horizontal="right" vertical="top" shrinkToFit="1"/>
    </xf>
    <xf numFmtId="1" fontId="77" fillId="0" borderId="32" xfId="69" applyNumberFormat="1" applyFont="1" applyBorder="1" applyAlignment="1">
      <alignment horizontal="center" vertical="top" shrinkToFit="1"/>
    </xf>
    <xf numFmtId="0" fontId="30" fillId="0" borderId="0" xfId="1" applyFont="1" applyAlignment="1">
      <alignment horizontal="center"/>
    </xf>
    <xf numFmtId="0" fontId="31" fillId="19" borderId="0" xfId="1" applyFont="1" applyFill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29" fillId="2" borderId="0" xfId="21" applyFont="1" applyFill="1" applyAlignment="1" applyProtection="1">
      <alignment horizontal="center" wrapText="1"/>
    </xf>
    <xf numFmtId="0" fontId="35" fillId="11" borderId="5" xfId="1" applyFont="1" applyFill="1" applyBorder="1" applyAlignment="1">
      <alignment horizontal="center" wrapText="1"/>
    </xf>
    <xf numFmtId="0" fontId="84" fillId="0" borderId="2" xfId="1" applyFont="1" applyBorder="1" applyAlignment="1">
      <alignment horizontal="center"/>
    </xf>
    <xf numFmtId="4" fontId="83" fillId="0" borderId="5" xfId="1" applyNumberFormat="1" applyFont="1" applyBorder="1" applyAlignment="1">
      <alignment horizontal="center" wrapText="1"/>
    </xf>
    <xf numFmtId="0" fontId="83" fillId="0" borderId="2" xfId="1" applyFont="1" applyBorder="1" applyAlignment="1">
      <alignment horizontal="center"/>
    </xf>
    <xf numFmtId="0" fontId="83" fillId="0" borderId="5" xfId="1" applyFont="1" applyBorder="1" applyAlignment="1">
      <alignment horizontal="center" wrapText="1"/>
    </xf>
    <xf numFmtId="0" fontId="84" fillId="0" borderId="3" xfId="1" applyFont="1" applyBorder="1" applyAlignment="1">
      <alignment horizontal="center"/>
    </xf>
    <xf numFmtId="4" fontId="83" fillId="0" borderId="3" xfId="1" applyNumberFormat="1" applyFont="1" applyBorder="1" applyAlignment="1">
      <alignment horizontal="center"/>
    </xf>
    <xf numFmtId="0" fontId="83" fillId="0" borderId="3" xfId="1" applyFont="1" applyBorder="1" applyAlignment="1">
      <alignment horizontal="center"/>
    </xf>
    <xf numFmtId="4" fontId="83" fillId="8" borderId="7" xfId="1" applyNumberFormat="1" applyFont="1" applyFill="1" applyBorder="1" applyAlignment="1">
      <alignment horizontal="center"/>
    </xf>
    <xf numFmtId="0" fontId="11" fillId="0" borderId="0" xfId="1" applyFont="1" applyAlignment="1">
      <alignment horizontal="center"/>
    </xf>
    <xf numFmtId="0" fontId="20" fillId="0" borderId="0" xfId="1" applyFont="1" applyAlignment="1">
      <alignment horizontal="left" vertical="center"/>
    </xf>
    <xf numFmtId="0" fontId="86" fillId="0" borderId="0" xfId="1" applyFont="1" applyAlignment="1">
      <alignment horizontal="left" vertical="center"/>
    </xf>
    <xf numFmtId="0" fontId="87" fillId="0" borderId="0" xfId="1" applyFont="1" applyAlignment="1">
      <alignment horizontal="left" vertical="center"/>
    </xf>
    <xf numFmtId="0" fontId="83" fillId="0" borderId="0" xfId="1" applyFont="1" applyAlignment="1">
      <alignment horizontal="left" vertical="center"/>
    </xf>
    <xf numFmtId="0" fontId="21" fillId="0" borderId="0" xfId="1" applyFont="1" applyAlignment="1">
      <alignment horizontal="left" vertical="center"/>
    </xf>
    <xf numFmtId="0" fontId="88" fillId="0" borderId="0" xfId="1" applyFont="1" applyAlignment="1">
      <alignment horizontal="left" vertical="center"/>
    </xf>
    <xf numFmtId="4" fontId="83" fillId="0" borderId="0" xfId="1" applyNumberFormat="1" applyFont="1" applyAlignment="1">
      <alignment horizontal="left" vertical="center"/>
    </xf>
    <xf numFmtId="4" fontId="2" fillId="2" borderId="3" xfId="1" applyNumberFormat="1" applyFill="1" applyBorder="1" applyAlignment="1">
      <alignment horizontal="center" vertical="center" wrapText="1"/>
    </xf>
    <xf numFmtId="0" fontId="31" fillId="19" borderId="0" xfId="1" applyFont="1" applyFill="1" applyAlignment="1">
      <alignment horizontal="center" vertical="center" wrapText="1"/>
    </xf>
    <xf numFmtId="0" fontId="78" fillId="2" borderId="0" xfId="1" applyFont="1" applyFill="1" applyAlignment="1">
      <alignment horizontal="left" wrapText="1"/>
    </xf>
    <xf numFmtId="0" fontId="80" fillId="2" borderId="0" xfId="1" applyFont="1" applyFill="1" applyAlignment="1">
      <alignment horizontal="left" wrapText="1"/>
    </xf>
    <xf numFmtId="0" fontId="81" fillId="2" borderId="0" xfId="1" applyFont="1" applyFill="1" applyAlignment="1">
      <alignment horizontal="left" wrapText="1"/>
    </xf>
    <xf numFmtId="0" fontId="29" fillId="2" borderId="0" xfId="1" applyFont="1" applyFill="1" applyAlignment="1">
      <alignment horizontal="center" vertical="center" wrapText="1"/>
    </xf>
    <xf numFmtId="0" fontId="29" fillId="2" borderId="0" xfId="21" applyFont="1" applyFill="1" applyAlignment="1" applyProtection="1">
      <alignment horizontal="justify" vertical="center" wrapText="1"/>
    </xf>
    <xf numFmtId="0" fontId="29" fillId="0" borderId="0" xfId="1" applyFont="1" applyAlignment="1">
      <alignment horizontal="left"/>
    </xf>
    <xf numFmtId="0" fontId="74" fillId="0" borderId="33" xfId="69" applyFont="1" applyBorder="1" applyAlignment="1">
      <alignment horizontal="center" vertical="center" wrapText="1"/>
    </xf>
    <xf numFmtId="0" fontId="74" fillId="0" borderId="33" xfId="69" applyFont="1" applyBorder="1" applyAlignment="1">
      <alignment horizontal="center" vertical="top" wrapText="1"/>
    </xf>
    <xf numFmtId="0" fontId="74" fillId="2" borderId="33" xfId="69" applyFont="1" applyFill="1" applyBorder="1" applyAlignment="1">
      <alignment horizontal="center" vertical="top" wrapText="1"/>
    </xf>
    <xf numFmtId="0" fontId="74" fillId="2" borderId="33" xfId="69" applyFont="1" applyFill="1" applyBorder="1" applyAlignment="1">
      <alignment horizontal="left" vertical="top" wrapText="1"/>
    </xf>
    <xf numFmtId="0" fontId="74" fillId="2" borderId="33" xfId="69" applyFont="1" applyFill="1" applyBorder="1" applyAlignment="1">
      <alignment horizontal="left" vertical="center" wrapText="1"/>
    </xf>
    <xf numFmtId="1" fontId="75" fillId="2" borderId="33" xfId="69" applyNumberFormat="1" applyFont="1" applyFill="1" applyBorder="1" applyAlignment="1">
      <alignment horizontal="center" vertical="center" shrinkToFit="1"/>
    </xf>
    <xf numFmtId="167" fontId="62" fillId="2" borderId="32" xfId="69" applyNumberFormat="1" applyFont="1" applyFill="1" applyBorder="1" applyAlignment="1">
      <alignment horizontal="right" vertical="center" shrinkToFit="1"/>
    </xf>
    <xf numFmtId="167" fontId="76" fillId="2" borderId="32" xfId="69" applyNumberFormat="1" applyFont="1" applyFill="1" applyBorder="1" applyAlignment="1">
      <alignment horizontal="right" vertical="center" shrinkToFit="1"/>
    </xf>
    <xf numFmtId="0" fontId="70" fillId="2" borderId="0" xfId="69" applyFill="1" applyAlignment="1">
      <alignment horizontal="left" vertical="top"/>
    </xf>
    <xf numFmtId="1" fontId="77" fillId="2" borderId="33" xfId="69" applyNumberFormat="1" applyFont="1" applyFill="1" applyBorder="1" applyAlignment="1">
      <alignment horizontal="center" vertical="center" shrinkToFit="1"/>
    </xf>
    <xf numFmtId="0" fontId="74" fillId="0" borderId="33" xfId="69" applyFont="1" applyBorder="1" applyAlignment="1">
      <alignment horizontal="justify" vertical="center" wrapText="1"/>
    </xf>
    <xf numFmtId="0" fontId="16" fillId="4" borderId="11" xfId="8" applyFont="1" applyFill="1" applyBorder="1" applyAlignment="1">
      <alignment vertical="center" wrapText="1"/>
    </xf>
    <xf numFmtId="0" fontId="16" fillId="0" borderId="11" xfId="8" applyFont="1" applyBorder="1" applyAlignment="1">
      <alignment vertical="center" wrapText="1"/>
    </xf>
    <xf numFmtId="0" fontId="16" fillId="2" borderId="11" xfId="8" applyFont="1" applyFill="1" applyBorder="1" applyAlignment="1">
      <alignment vertical="center" wrapText="1"/>
    </xf>
    <xf numFmtId="0" fontId="16" fillId="11" borderId="11" xfId="8" applyFont="1" applyFill="1" applyBorder="1" applyAlignment="1">
      <alignment vertical="center" wrapText="1"/>
    </xf>
    <xf numFmtId="0" fontId="16" fillId="0" borderId="11" xfId="8" applyFont="1" applyBorder="1" applyAlignment="1">
      <alignment horizontal="justify" vertical="justify" wrapText="1"/>
    </xf>
    <xf numFmtId="0" fontId="22" fillId="4" borderId="11" xfId="8" applyFont="1" applyFill="1" applyBorder="1" applyAlignment="1">
      <alignment vertical="center" wrapText="1"/>
    </xf>
    <xf numFmtId="0" fontId="83" fillId="0" borderId="1" xfId="1" applyFont="1" applyBorder="1" applyAlignment="1">
      <alignment horizontal="center" vertical="center"/>
    </xf>
    <xf numFmtId="0" fontId="83" fillId="0" borderId="2" xfId="1" applyFont="1" applyBorder="1" applyAlignment="1">
      <alignment horizontal="center" vertical="center"/>
    </xf>
    <xf numFmtId="0" fontId="83" fillId="0" borderId="3" xfId="1" applyFont="1" applyBorder="1" applyAlignment="1">
      <alignment horizontal="center" vertical="center"/>
    </xf>
    <xf numFmtId="4" fontId="21" fillId="2" borderId="3" xfId="1" applyNumberFormat="1" applyFont="1" applyFill="1" applyBorder="1" applyAlignment="1">
      <alignment horizontal="right" vertical="center" wrapText="1"/>
    </xf>
    <xf numFmtId="0" fontId="31" fillId="2" borderId="0" xfId="1" applyFont="1" applyFill="1" applyAlignment="1">
      <alignment horizontal="center" vertical="center" wrapText="1"/>
    </xf>
    <xf numFmtId="0" fontId="31" fillId="2" borderId="0" xfId="1" applyFont="1" applyFill="1" applyAlignment="1">
      <alignment horizontal="justify" vertical="center" wrapText="1"/>
    </xf>
    <xf numFmtId="0" fontId="93" fillId="0" borderId="0" xfId="1" applyFont="1" applyAlignment="1">
      <alignment horizontal="center" vertical="center"/>
    </xf>
    <xf numFmtId="0" fontId="20" fillId="11" borderId="5" xfId="1" applyFont="1" applyFill="1" applyBorder="1" applyAlignment="1">
      <alignment horizontal="center" vertical="center" wrapText="1"/>
    </xf>
    <xf numFmtId="4" fontId="20" fillId="2" borderId="3" xfId="1" applyNumberFormat="1" applyFont="1" applyFill="1" applyBorder="1" applyAlignment="1">
      <alignment horizontal="right" vertical="center" wrapText="1"/>
    </xf>
    <xf numFmtId="4" fontId="20" fillId="8" borderId="7" xfId="1" applyNumberFormat="1" applyFont="1" applyFill="1" applyBorder="1" applyAlignment="1">
      <alignment horizontal="right" vertical="center"/>
    </xf>
    <xf numFmtId="0" fontId="86" fillId="0" borderId="2" xfId="1" applyFont="1" applyBorder="1" applyAlignment="1">
      <alignment horizontal="center" vertical="center"/>
    </xf>
    <xf numFmtId="4" fontId="20" fillId="0" borderId="5" xfId="1" applyNumberFormat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5" xfId="1" applyFont="1" applyBorder="1" applyAlignment="1">
      <alignment horizontal="center" vertical="center" wrapText="1"/>
    </xf>
    <xf numFmtId="0" fontId="86" fillId="0" borderId="3" xfId="1" applyFont="1" applyBorder="1" applyAlignment="1">
      <alignment horizontal="center" vertical="center"/>
    </xf>
    <xf numFmtId="4" fontId="20" fillId="0" borderId="3" xfId="1" applyNumberFormat="1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/>
    </xf>
    <xf numFmtId="0" fontId="84" fillId="0" borderId="1" xfId="1" applyFont="1" applyBorder="1" applyAlignment="1">
      <alignment vertical="center"/>
    </xf>
    <xf numFmtId="0" fontId="84" fillId="0" borderId="2" xfId="1" applyFont="1" applyBorder="1" applyAlignment="1">
      <alignment vertical="center"/>
    </xf>
    <xf numFmtId="10" fontId="84" fillId="0" borderId="2" xfId="1" applyNumberFormat="1" applyFont="1" applyBorder="1" applyAlignment="1">
      <alignment vertical="center"/>
    </xf>
    <xf numFmtId="10" fontId="86" fillId="0" borderId="2" xfId="1" applyNumberFormat="1" applyFont="1" applyBorder="1" applyAlignment="1">
      <alignment horizontal="center" vertical="center"/>
    </xf>
    <xf numFmtId="0" fontId="35" fillId="20" borderId="5" xfId="1" applyFont="1" applyFill="1" applyBorder="1" applyAlignment="1">
      <alignment horizontal="center" vertical="center" wrapText="1"/>
    </xf>
    <xf numFmtId="4" fontId="21" fillId="12" borderId="3" xfId="1" applyNumberFormat="1" applyFont="1" applyFill="1" applyBorder="1" applyAlignment="1">
      <alignment horizontal="right" vertical="center" wrapText="1"/>
    </xf>
    <xf numFmtId="10" fontId="18" fillId="11" borderId="12" xfId="70" applyNumberFormat="1" applyFont="1" applyFill="1" applyBorder="1" applyAlignment="1" applyProtection="1">
      <alignment vertical="center"/>
    </xf>
    <xf numFmtId="2" fontId="2" fillId="0" borderId="0" xfId="1" applyNumberFormat="1" applyAlignment="1">
      <alignment horizontal="center" vertical="center"/>
    </xf>
    <xf numFmtId="0" fontId="20" fillId="0" borderId="0" xfId="1" applyFont="1" applyAlignment="1">
      <alignment horizontal="center" vertical="center"/>
    </xf>
    <xf numFmtId="2" fontId="2" fillId="2" borderId="0" xfId="1" applyNumberFormat="1" applyFill="1" applyAlignment="1">
      <alignment horizontal="center" vertical="center"/>
    </xf>
    <xf numFmtId="0" fontId="2" fillId="2" borderId="0" xfId="1" applyFill="1"/>
    <xf numFmtId="0" fontId="21" fillId="2" borderId="3" xfId="1" applyFont="1" applyFill="1" applyBorder="1" applyAlignment="1">
      <alignment horizontal="center" vertical="center" wrapText="1"/>
    </xf>
    <xf numFmtId="4" fontId="29" fillId="0" borderId="0" xfId="1" applyNumberFormat="1" applyFont="1" applyAlignment="1">
      <alignment horizontal="left"/>
    </xf>
    <xf numFmtId="0" fontId="35" fillId="11" borderId="1" xfId="1" applyFont="1" applyFill="1" applyBorder="1" applyAlignment="1">
      <alignment horizontal="center" vertical="center" wrapText="1"/>
    </xf>
    <xf numFmtId="4" fontId="21" fillId="2" borderId="2" xfId="1" applyNumberFormat="1" applyFont="1" applyFill="1" applyBorder="1" applyAlignment="1">
      <alignment horizontal="right" vertical="center" wrapText="1"/>
    </xf>
    <xf numFmtId="4" fontId="83" fillId="8" borderId="1" xfId="1" applyNumberFormat="1" applyFont="1" applyFill="1" applyBorder="1" applyAlignment="1">
      <alignment horizontal="right" vertical="center"/>
    </xf>
    <xf numFmtId="10" fontId="86" fillId="0" borderId="36" xfId="1" applyNumberFormat="1" applyFont="1" applyBorder="1" applyAlignment="1">
      <alignment horizontal="center" vertical="center"/>
    </xf>
    <xf numFmtId="0" fontId="20" fillId="11" borderId="0" xfId="1" applyFont="1" applyFill="1" applyAlignment="1">
      <alignment horizontal="center" vertical="center" wrapText="1"/>
    </xf>
    <xf numFmtId="4" fontId="20" fillId="2" borderId="0" xfId="1" applyNumberFormat="1" applyFont="1" applyFill="1" applyAlignment="1">
      <alignment horizontal="right" vertical="center" wrapText="1"/>
    </xf>
    <xf numFmtId="4" fontId="20" fillId="8" borderId="0" xfId="1" applyNumberFormat="1" applyFont="1" applyFill="1" applyAlignment="1">
      <alignment horizontal="right" vertical="center"/>
    </xf>
    <xf numFmtId="164" fontId="5" fillId="0" borderId="0" xfId="1" applyNumberFormat="1" applyFont="1" applyAlignment="1">
      <alignment vertical="center"/>
    </xf>
    <xf numFmtId="164" fontId="5" fillId="2" borderId="0" xfId="1" applyNumberFormat="1" applyFont="1" applyFill="1" applyAlignment="1">
      <alignment vertical="center"/>
    </xf>
    <xf numFmtId="164" fontId="2" fillId="0" borderId="0" xfId="1" applyNumberFormat="1" applyAlignment="1">
      <alignment vertical="center"/>
    </xf>
    <xf numFmtId="43" fontId="5" fillId="2" borderId="0" xfId="1" applyNumberFormat="1" applyFont="1" applyFill="1" applyAlignment="1">
      <alignment vertical="center"/>
    </xf>
    <xf numFmtId="4" fontId="20" fillId="8" borderId="5" xfId="1" applyNumberFormat="1" applyFont="1" applyFill="1" applyBorder="1" applyAlignment="1">
      <alignment horizontal="right" vertical="center"/>
    </xf>
    <xf numFmtId="0" fontId="85" fillId="0" borderId="0" xfId="1" applyFont="1" applyAlignment="1">
      <alignment horizontal="center" vertical="center"/>
    </xf>
    <xf numFmtId="0" fontId="97" fillId="0" borderId="33" xfId="0" applyFont="1" applyBorder="1" applyAlignment="1">
      <alignment horizontal="center" vertical="center" wrapText="1"/>
    </xf>
    <xf numFmtId="44" fontId="97" fillId="0" borderId="33" xfId="71" applyFont="1" applyBorder="1" applyAlignment="1">
      <alignment horizontal="center" vertical="center" wrapText="1"/>
    </xf>
    <xf numFmtId="17" fontId="0" fillId="0" borderId="33" xfId="0" applyNumberFormat="1" applyBorder="1" applyAlignment="1">
      <alignment vertical="center" wrapText="1"/>
    </xf>
    <xf numFmtId="44" fontId="0" fillId="0" borderId="33" xfId="71" applyFont="1" applyBorder="1" applyAlignment="1">
      <alignment vertical="center" wrapText="1"/>
    </xf>
    <xf numFmtId="10" fontId="0" fillId="0" borderId="0" xfId="70" applyNumberFormat="1" applyFont="1"/>
    <xf numFmtId="9" fontId="0" fillId="0" borderId="0" xfId="70" applyFont="1"/>
    <xf numFmtId="44" fontId="97" fillId="22" borderId="33" xfId="71" applyFont="1" applyFill="1" applyBorder="1" applyAlignment="1">
      <alignment vertical="center" wrapText="1"/>
    </xf>
    <xf numFmtId="44" fontId="0" fillId="0" borderId="0" xfId="0" applyNumberFormat="1"/>
    <xf numFmtId="2" fontId="11" fillId="0" borderId="0" xfId="1" applyNumberFormat="1" applyFont="1"/>
    <xf numFmtId="43" fontId="11" fillId="0" borderId="0" xfId="1" applyNumberFormat="1" applyFont="1"/>
    <xf numFmtId="44" fontId="0" fillId="0" borderId="31" xfId="71" applyFont="1" applyBorder="1" applyAlignment="1">
      <alignment vertical="center" wrapText="1"/>
    </xf>
    <xf numFmtId="44" fontId="0" fillId="0" borderId="0" xfId="71" applyFont="1" applyBorder="1" applyAlignment="1">
      <alignment vertical="center" wrapText="1"/>
    </xf>
    <xf numFmtId="44" fontId="0" fillId="0" borderId="34" xfId="71" applyFont="1" applyBorder="1" applyAlignment="1">
      <alignment vertical="center" wrapText="1"/>
    </xf>
    <xf numFmtId="44" fontId="0" fillId="0" borderId="47" xfId="71" applyFont="1" applyBorder="1" applyAlignment="1">
      <alignment vertical="center" wrapText="1"/>
    </xf>
    <xf numFmtId="44" fontId="0" fillId="0" borderId="5" xfId="71" applyFont="1" applyBorder="1" applyAlignment="1">
      <alignment vertical="center" wrapText="1"/>
    </xf>
    <xf numFmtId="167" fontId="34" fillId="0" borderId="0" xfId="1" applyNumberFormat="1" applyFont="1" applyAlignment="1">
      <alignment vertical="center"/>
    </xf>
    <xf numFmtId="4" fontId="11" fillId="0" borderId="0" xfId="1" applyNumberFormat="1" applyFont="1"/>
    <xf numFmtId="167" fontId="11" fillId="0" borderId="0" xfId="1" applyNumberFormat="1" applyFont="1"/>
    <xf numFmtId="167" fontId="85" fillId="0" borderId="0" xfId="1" applyNumberFormat="1" applyFont="1"/>
    <xf numFmtId="44" fontId="83" fillId="8" borderId="5" xfId="66" applyFont="1" applyFill="1" applyBorder="1" applyAlignment="1">
      <alignment horizontal="right" vertical="center"/>
    </xf>
    <xf numFmtId="44" fontId="2" fillId="2" borderId="3" xfId="66" applyFont="1" applyFill="1" applyBorder="1" applyAlignment="1">
      <alignment horizontal="right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/>
    </xf>
    <xf numFmtId="0" fontId="11" fillId="2" borderId="8" xfId="1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horizontal="center" vertical="center"/>
    </xf>
    <xf numFmtId="0" fontId="36" fillId="2" borderId="1" xfId="1" applyFont="1" applyFill="1" applyBorder="1" applyAlignment="1">
      <alignment horizontal="center" vertical="center"/>
    </xf>
    <xf numFmtId="0" fontId="36" fillId="2" borderId="2" xfId="1" applyFont="1" applyFill="1" applyBorder="1" applyAlignment="1">
      <alignment horizontal="center" vertical="center"/>
    </xf>
    <xf numFmtId="0" fontId="60" fillId="15" borderId="28" xfId="0" applyFont="1" applyFill="1" applyBorder="1" applyAlignment="1">
      <alignment horizontal="center" vertical="center" wrapText="1"/>
    </xf>
    <xf numFmtId="0" fontId="60" fillId="15" borderId="0" xfId="0" applyFont="1" applyFill="1" applyAlignment="1">
      <alignment horizontal="center" vertical="center" wrapText="1"/>
    </xf>
    <xf numFmtId="0" fontId="60" fillId="0" borderId="28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58" fillId="15" borderId="23" xfId="0" applyFont="1" applyFill="1" applyBorder="1" applyAlignment="1">
      <alignment horizontal="center" vertical="center" wrapText="1"/>
    </xf>
    <xf numFmtId="0" fontId="58" fillId="15" borderId="24" xfId="0" applyFont="1" applyFill="1" applyBorder="1" applyAlignment="1">
      <alignment horizontal="center" vertical="center" wrapText="1"/>
    </xf>
    <xf numFmtId="0" fontId="58" fillId="0" borderId="22" xfId="0" applyFont="1" applyBorder="1" applyAlignment="1">
      <alignment horizontal="center" vertical="center"/>
    </xf>
    <xf numFmtId="0" fontId="58" fillId="0" borderId="25" xfId="0" applyFont="1" applyBorder="1" applyAlignment="1">
      <alignment horizontal="center" vertical="center"/>
    </xf>
    <xf numFmtId="0" fontId="31" fillId="2" borderId="37" xfId="1" applyFont="1" applyFill="1" applyBorder="1" applyAlignment="1">
      <alignment horizontal="left" vertical="center" wrapText="1"/>
    </xf>
    <xf numFmtId="0" fontId="31" fillId="2" borderId="29" xfId="1" applyFont="1" applyFill="1" applyBorder="1" applyAlignment="1">
      <alignment horizontal="left" vertical="center" wrapText="1"/>
    </xf>
    <xf numFmtId="0" fontId="31" fillId="2" borderId="6" xfId="1" applyFont="1" applyFill="1" applyBorder="1" applyAlignment="1">
      <alignment horizontal="left" vertical="center" wrapText="1"/>
    </xf>
    <xf numFmtId="0" fontId="29" fillId="2" borderId="38" xfId="1" applyFont="1" applyFill="1" applyBorder="1" applyAlignment="1">
      <alignment horizontal="justify" vertical="center" wrapText="1"/>
    </xf>
    <xf numFmtId="0" fontId="29" fillId="2" borderId="0" xfId="1" applyFont="1" applyFill="1" applyAlignment="1">
      <alignment horizontal="justify" vertical="center" wrapText="1"/>
    </xf>
    <xf numFmtId="0" fontId="29" fillId="2" borderId="38" xfId="1" applyFont="1" applyFill="1" applyBorder="1" applyAlignment="1">
      <alignment horizontal="center" vertical="center" wrapText="1"/>
    </xf>
    <xf numFmtId="0" fontId="29" fillId="2" borderId="0" xfId="1" applyFont="1" applyFill="1" applyAlignment="1">
      <alignment horizontal="center" vertical="center" wrapText="1"/>
    </xf>
    <xf numFmtId="0" fontId="31" fillId="2" borderId="0" xfId="1" applyFont="1" applyFill="1" applyAlignment="1">
      <alignment horizontal="left" vertical="center" wrapText="1"/>
    </xf>
    <xf numFmtId="0" fontId="29" fillId="0" borderId="0" xfId="1" applyFont="1" applyAlignment="1">
      <alignment horizontal="left"/>
    </xf>
    <xf numFmtId="0" fontId="31" fillId="2" borderId="37" xfId="1" applyFont="1" applyFill="1" applyBorder="1" applyAlignment="1">
      <alignment horizontal="center" vertical="center" wrapText="1"/>
    </xf>
    <xf numFmtId="0" fontId="31" fillId="2" borderId="29" xfId="1" applyFont="1" applyFill="1" applyBorder="1" applyAlignment="1">
      <alignment horizontal="center" vertical="center" wrapText="1"/>
    </xf>
    <xf numFmtId="0" fontId="31" fillId="2" borderId="6" xfId="1" applyFont="1" applyFill="1" applyBorder="1" applyAlignment="1">
      <alignment horizontal="center" vertical="center" wrapText="1"/>
    </xf>
    <xf numFmtId="0" fontId="31" fillId="2" borderId="37" xfId="1" applyFont="1" applyFill="1" applyBorder="1" applyAlignment="1">
      <alignment horizontal="justify" vertical="center" wrapText="1"/>
    </xf>
    <xf numFmtId="0" fontId="31" fillId="2" borderId="29" xfId="1" applyFont="1" applyFill="1" applyBorder="1" applyAlignment="1">
      <alignment horizontal="justify" vertical="center" wrapText="1"/>
    </xf>
    <xf numFmtId="0" fontId="31" fillId="2" borderId="6" xfId="1" applyFont="1" applyFill="1" applyBorder="1" applyAlignment="1">
      <alignment horizontal="justify" vertical="center" wrapText="1"/>
    </xf>
    <xf numFmtId="0" fontId="83" fillId="8" borderId="1" xfId="1" applyFont="1" applyFill="1" applyBorder="1" applyAlignment="1">
      <alignment horizontal="center" vertical="center" wrapText="1"/>
    </xf>
    <xf numFmtId="0" fontId="83" fillId="8" borderId="2" xfId="1" applyFont="1" applyFill="1" applyBorder="1" applyAlignment="1">
      <alignment horizontal="center" vertical="center" wrapText="1"/>
    </xf>
    <xf numFmtId="0" fontId="84" fillId="0" borderId="1" xfId="1" applyFont="1" applyBorder="1" applyAlignment="1">
      <alignment horizontal="center" vertical="center"/>
    </xf>
    <xf numFmtId="0" fontId="84" fillId="0" borderId="2" xfId="1" applyFont="1" applyBorder="1" applyAlignment="1">
      <alignment horizontal="center" vertical="center"/>
    </xf>
    <xf numFmtId="0" fontId="83" fillId="0" borderId="5" xfId="1" applyFont="1" applyBorder="1" applyAlignment="1">
      <alignment horizontal="center" vertical="center" wrapText="1"/>
    </xf>
    <xf numFmtId="0" fontId="83" fillId="0" borderId="1" xfId="1" applyFont="1" applyBorder="1" applyAlignment="1">
      <alignment horizontal="center" vertical="center"/>
    </xf>
    <xf numFmtId="0" fontId="83" fillId="0" borderId="2" xfId="1" applyFont="1" applyBorder="1" applyAlignment="1">
      <alignment horizontal="center" vertical="center"/>
    </xf>
    <xf numFmtId="0" fontId="84" fillId="0" borderId="3" xfId="1" applyFont="1" applyBorder="1" applyAlignment="1">
      <alignment horizontal="center" vertical="center"/>
    </xf>
    <xf numFmtId="0" fontId="83" fillId="0" borderId="5" xfId="1" applyFont="1" applyBorder="1" applyAlignment="1">
      <alignment horizontal="center" vertical="center"/>
    </xf>
    <xf numFmtId="0" fontId="83" fillId="0" borderId="3" xfId="1" applyFont="1" applyBorder="1" applyAlignment="1">
      <alignment horizontal="center" vertical="center"/>
    </xf>
    <xf numFmtId="0" fontId="31" fillId="2" borderId="1" xfId="1" applyFont="1" applyFill="1" applyBorder="1" applyAlignment="1">
      <alignment horizontal="center" vertical="center" wrapText="1"/>
    </xf>
    <xf numFmtId="0" fontId="31" fillId="2" borderId="2" xfId="1" applyFont="1" applyFill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center" vertical="center" wrapText="1"/>
    </xf>
    <xf numFmtId="0" fontId="2" fillId="2" borderId="7" xfId="1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29" fillId="2" borderId="0" xfId="1" applyFont="1" applyFill="1" applyAlignment="1">
      <alignment vertical="center" wrapText="1"/>
    </xf>
    <xf numFmtId="0" fontId="29" fillId="2" borderId="0" xfId="21" applyFont="1" applyFill="1" applyAlignment="1" applyProtection="1">
      <alignment horizontal="justify" vertical="center" wrapText="1"/>
    </xf>
    <xf numFmtId="0" fontId="31" fillId="19" borderId="0" xfId="1" applyFont="1" applyFill="1" applyAlignment="1">
      <alignment horizontal="center" vertical="center" wrapText="1"/>
    </xf>
    <xf numFmtId="0" fontId="30" fillId="0" borderId="0" xfId="1" applyFont="1" applyAlignment="1">
      <alignment horizontal="center" vertical="center"/>
    </xf>
    <xf numFmtId="0" fontId="78" fillId="2" borderId="0" xfId="1" applyFont="1" applyFill="1" applyAlignment="1">
      <alignment horizontal="left" wrapText="1"/>
    </xf>
    <xf numFmtId="0" fontId="80" fillId="2" borderId="0" xfId="1" applyFont="1" applyFill="1" applyAlignment="1">
      <alignment horizontal="left" wrapText="1"/>
    </xf>
    <xf numFmtId="0" fontId="81" fillId="2" borderId="0" xfId="1" applyFont="1" applyFill="1" applyAlignment="1">
      <alignment horizontal="left" wrapText="1"/>
    </xf>
    <xf numFmtId="0" fontId="31" fillId="2" borderId="22" xfId="1" applyFont="1" applyFill="1" applyBorder="1" applyAlignment="1">
      <alignment horizontal="center" vertical="center" wrapText="1"/>
    </xf>
    <xf numFmtId="0" fontId="31" fillId="2" borderId="43" xfId="1" applyFont="1" applyFill="1" applyBorder="1" applyAlignment="1">
      <alignment horizontal="center" vertical="center" wrapText="1"/>
    </xf>
    <xf numFmtId="0" fontId="31" fillId="2" borderId="25" xfId="1" applyFont="1" applyFill="1" applyBorder="1" applyAlignment="1">
      <alignment horizontal="center" vertical="center" wrapText="1"/>
    </xf>
    <xf numFmtId="0" fontId="31" fillId="2" borderId="38" xfId="1" applyFont="1" applyFill="1" applyBorder="1" applyAlignment="1">
      <alignment horizontal="justify" vertical="center" wrapText="1"/>
    </xf>
    <xf numFmtId="0" fontId="31" fillId="2" borderId="0" xfId="1" applyFont="1" applyFill="1" applyAlignment="1">
      <alignment horizontal="justify" vertical="center" wrapText="1"/>
    </xf>
    <xf numFmtId="0" fontId="31" fillId="2" borderId="39" xfId="1" applyFont="1" applyFill="1" applyBorder="1" applyAlignment="1">
      <alignment horizontal="justify" vertical="center" wrapText="1"/>
    </xf>
    <xf numFmtId="0" fontId="94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8" fillId="21" borderId="44" xfId="0" applyFont="1" applyFill="1" applyBorder="1" applyAlignment="1">
      <alignment horizontal="center" vertical="center" wrapText="1"/>
    </xf>
    <xf numFmtId="0" fontId="98" fillId="21" borderId="45" xfId="0" applyFont="1" applyFill="1" applyBorder="1" applyAlignment="1">
      <alignment horizontal="center" vertical="center" wrapText="1"/>
    </xf>
    <xf numFmtId="0" fontId="98" fillId="21" borderId="42" xfId="0" applyFont="1" applyFill="1" applyBorder="1" applyAlignment="1">
      <alignment horizontal="center" vertical="center" wrapText="1"/>
    </xf>
    <xf numFmtId="0" fontId="98" fillId="21" borderId="46" xfId="0" applyFont="1" applyFill="1" applyBorder="1" applyAlignment="1">
      <alignment horizontal="center" vertical="center" wrapText="1"/>
    </xf>
    <xf numFmtId="0" fontId="97" fillId="22" borderId="30" xfId="0" applyFont="1" applyFill="1" applyBorder="1" applyAlignment="1">
      <alignment vertical="center" wrapText="1"/>
    </xf>
    <xf numFmtId="0" fontId="97" fillId="22" borderId="32" xfId="0" applyFont="1" applyFill="1" applyBorder="1" applyAlignment="1">
      <alignment vertical="center" wrapText="1"/>
    </xf>
    <xf numFmtId="0" fontId="99" fillId="0" borderId="30" xfId="0" applyFont="1" applyBorder="1" applyAlignment="1">
      <alignment horizontal="center" vertical="center" wrapText="1"/>
    </xf>
    <xf numFmtId="0" fontId="99" fillId="0" borderId="32" xfId="0" applyFont="1" applyBorder="1" applyAlignment="1">
      <alignment horizontal="center" vertical="center" wrapText="1"/>
    </xf>
    <xf numFmtId="0" fontId="31" fillId="19" borderId="36" xfId="1" applyFont="1" applyFill="1" applyBorder="1" applyAlignment="1">
      <alignment horizontal="center" vertical="center" wrapText="1"/>
    </xf>
    <xf numFmtId="3" fontId="83" fillId="8" borderId="2" xfId="1" applyNumberFormat="1" applyFont="1" applyFill="1" applyBorder="1" applyAlignment="1">
      <alignment horizontal="center" vertical="center" wrapText="1"/>
    </xf>
    <xf numFmtId="3" fontId="83" fillId="8" borderId="3" xfId="1" applyNumberFormat="1" applyFont="1" applyFill="1" applyBorder="1" applyAlignment="1">
      <alignment horizontal="center" vertical="center" wrapText="1"/>
    </xf>
    <xf numFmtId="0" fontId="13" fillId="7" borderId="9" xfId="1" applyFont="1" applyFill="1" applyBorder="1" applyAlignment="1">
      <alignment horizontal="left" vertical="center" wrapText="1"/>
    </xf>
    <xf numFmtId="0" fontId="13" fillId="7" borderId="10" xfId="1" applyFont="1" applyFill="1" applyBorder="1" applyAlignment="1">
      <alignment horizontal="left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center" vertical="center" wrapText="1"/>
    </xf>
    <xf numFmtId="0" fontId="2" fillId="0" borderId="0" xfId="8" applyAlignment="1">
      <alignment horizontal="justify" vertical="justify" wrapText="1"/>
    </xf>
    <xf numFmtId="0" fontId="3" fillId="13" borderId="5" xfId="1" applyFont="1" applyFill="1" applyBorder="1" applyAlignment="1">
      <alignment horizontal="left" vertical="center" wrapText="1"/>
    </xf>
    <xf numFmtId="0" fontId="4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8" borderId="5" xfId="0" applyFont="1" applyFill="1" applyBorder="1" applyAlignment="1">
      <alignment horizontal="center" vertical="center" wrapText="1"/>
    </xf>
    <xf numFmtId="14" fontId="40" fillId="0" borderId="5" xfId="0" applyNumberFormat="1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0" fontId="38" fillId="0" borderId="3" xfId="0" applyFont="1" applyBorder="1" applyAlignment="1">
      <alignment horizontal="left" vertical="center" wrapText="1"/>
    </xf>
    <xf numFmtId="0" fontId="3" fillId="12" borderId="5" xfId="1" applyFont="1" applyFill="1" applyBorder="1" applyAlignment="1">
      <alignment horizontal="left" vertical="center"/>
    </xf>
    <xf numFmtId="0" fontId="48" fillId="0" borderId="1" xfId="0" applyFont="1" applyBorder="1" applyAlignment="1">
      <alignment horizontal="left" vertical="center" wrapText="1"/>
    </xf>
    <xf numFmtId="0" fontId="48" fillId="0" borderId="2" xfId="0" applyFont="1" applyBorder="1" applyAlignment="1">
      <alignment horizontal="left" vertical="center" wrapText="1"/>
    </xf>
    <xf numFmtId="0" fontId="48" fillId="0" borderId="3" xfId="0" applyFont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/>
    </xf>
    <xf numFmtId="49" fontId="5" fillId="2" borderId="5" xfId="3" applyNumberFormat="1" applyFont="1" applyFill="1" applyBorder="1" applyAlignment="1">
      <alignment horizontal="center"/>
    </xf>
    <xf numFmtId="167" fontId="5" fillId="2" borderId="5" xfId="1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0" fontId="3" fillId="7" borderId="4" xfId="1" applyFont="1" applyFill="1" applyBorder="1" applyAlignment="1">
      <alignment horizontal="left" vertical="center" wrapText="1"/>
    </xf>
    <xf numFmtId="0" fontId="3" fillId="6" borderId="5" xfId="1" applyFont="1" applyFill="1" applyBorder="1" applyAlignment="1">
      <alignment horizontal="center" vertical="center" wrapText="1"/>
    </xf>
    <xf numFmtId="0" fontId="3" fillId="8" borderId="5" xfId="1" applyFont="1" applyFill="1" applyBorder="1" applyAlignment="1">
      <alignment horizontal="center" vertical="center" wrapText="1"/>
    </xf>
    <xf numFmtId="0" fontId="3" fillId="5" borderId="5" xfId="1" applyFont="1" applyFill="1" applyBorder="1" applyAlignment="1">
      <alignment horizontal="left" vertical="center" wrapText="1"/>
    </xf>
    <xf numFmtId="0" fontId="3" fillId="4" borderId="5" xfId="1" applyFont="1" applyFill="1" applyBorder="1" applyAlignment="1">
      <alignment horizontal="left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71" fillId="0" borderId="0" xfId="69" applyFont="1" applyAlignment="1">
      <alignment horizontal="center" vertical="top" wrapText="1"/>
    </xf>
    <xf numFmtId="0" fontId="71" fillId="18" borderId="31" xfId="69" applyFont="1" applyFill="1" applyBorder="1" applyAlignment="1">
      <alignment horizontal="center" vertical="center" wrapText="1"/>
    </xf>
    <xf numFmtId="0" fontId="71" fillId="18" borderId="30" xfId="69" applyFont="1" applyFill="1" applyBorder="1" applyAlignment="1">
      <alignment horizontal="center" vertical="center" wrapText="1"/>
    </xf>
    <xf numFmtId="0" fontId="71" fillId="18" borderId="32" xfId="69" applyFont="1" applyFill="1" applyBorder="1" applyAlignment="1">
      <alignment horizontal="center" vertical="center" wrapText="1"/>
    </xf>
    <xf numFmtId="0" fontId="71" fillId="0" borderId="30" xfId="69" applyFont="1" applyBorder="1" applyAlignment="1">
      <alignment horizontal="left" vertical="top" wrapText="1"/>
    </xf>
    <xf numFmtId="0" fontId="71" fillId="0" borderId="32" xfId="69" applyFont="1" applyBorder="1" applyAlignment="1">
      <alignment horizontal="left" vertical="top" wrapText="1"/>
    </xf>
    <xf numFmtId="0" fontId="71" fillId="0" borderId="31" xfId="69" applyFont="1" applyBorder="1" applyAlignment="1">
      <alignment horizontal="left" vertical="top" wrapText="1"/>
    </xf>
    <xf numFmtId="0" fontId="71" fillId="0" borderId="5" xfId="69" applyFont="1" applyBorder="1" applyAlignment="1">
      <alignment horizontal="left" vertical="top" wrapText="1"/>
    </xf>
    <xf numFmtId="0" fontId="64" fillId="0" borderId="31" xfId="68" applyFont="1" applyBorder="1" applyAlignment="1">
      <alignment horizontal="center" vertical="top" wrapText="1"/>
    </xf>
    <xf numFmtId="0" fontId="64" fillId="0" borderId="30" xfId="68" applyFont="1" applyBorder="1" applyAlignment="1">
      <alignment horizontal="center" vertical="top" wrapText="1"/>
    </xf>
    <xf numFmtId="0" fontId="64" fillId="0" borderId="32" xfId="68" applyFont="1" applyBorder="1" applyAlignment="1">
      <alignment horizontal="center" vertical="top" wrapText="1"/>
    </xf>
    <xf numFmtId="0" fontId="65" fillId="0" borderId="31" xfId="68" applyFont="1" applyBorder="1" applyAlignment="1">
      <alignment horizontal="center" vertical="top" wrapText="1"/>
    </xf>
    <xf numFmtId="0" fontId="63" fillId="0" borderId="42" xfId="68" applyBorder="1" applyAlignment="1">
      <alignment horizontal="center" vertical="top"/>
    </xf>
    <xf numFmtId="0" fontId="64" fillId="17" borderId="31" xfId="68" applyFont="1" applyFill="1" applyBorder="1" applyAlignment="1">
      <alignment horizontal="left" vertical="top" wrapText="1"/>
    </xf>
    <xf numFmtId="0" fontId="64" fillId="17" borderId="32" xfId="68" applyFont="1" applyFill="1" applyBorder="1" applyAlignment="1">
      <alignment horizontal="left" vertical="top" wrapText="1"/>
    </xf>
    <xf numFmtId="0" fontId="65" fillId="0" borderId="34" xfId="68" applyFont="1" applyBorder="1" applyAlignment="1">
      <alignment horizontal="left" vertical="center" wrapText="1"/>
    </xf>
    <xf numFmtId="0" fontId="64" fillId="0" borderId="35" xfId="68" applyFont="1" applyBorder="1" applyAlignment="1">
      <alignment horizontal="left" vertical="center" wrapText="1"/>
    </xf>
    <xf numFmtId="171" fontId="8" fillId="0" borderId="1" xfId="0" applyNumberFormat="1" applyFont="1" applyBorder="1" applyAlignment="1">
      <alignment horizontal="center" wrapText="1"/>
    </xf>
    <xf numFmtId="171" fontId="8" fillId="0" borderId="2" xfId="0" applyNumberFormat="1" applyFont="1" applyBorder="1" applyAlignment="1">
      <alignment horizontal="center" wrapText="1"/>
    </xf>
    <xf numFmtId="171" fontId="8" fillId="0" borderId="3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167" fontId="34" fillId="0" borderId="0" xfId="1" applyNumberFormat="1" applyFont="1"/>
    <xf numFmtId="44" fontId="34" fillId="0" borderId="0" xfId="1" applyNumberFormat="1" applyFont="1"/>
    <xf numFmtId="44" fontId="85" fillId="0" borderId="0" xfId="1" applyNumberFormat="1" applyFont="1"/>
  </cellXfs>
  <cellStyles count="72">
    <cellStyle name="Euro" xfId="20" xr:uid="{00000000-0005-0000-0000-000000000000}"/>
    <cellStyle name="Hyperlink 2" xfId="4" xr:uid="{00000000-0005-0000-0000-000001000000}"/>
    <cellStyle name="Hyperlink 2 2" xfId="21" xr:uid="{00000000-0005-0000-0000-000002000000}"/>
    <cellStyle name="Hyperlink 3" xfId="22" xr:uid="{00000000-0005-0000-0000-000003000000}"/>
    <cellStyle name="Moeda" xfId="66" builtinId="4"/>
    <cellStyle name="Moeda 2" xfId="3" xr:uid="{00000000-0005-0000-0000-000005000000}"/>
    <cellStyle name="Moeda 2 2" xfId="23" xr:uid="{00000000-0005-0000-0000-000006000000}"/>
    <cellStyle name="Moeda 2 2 2" xfId="24" xr:uid="{00000000-0005-0000-0000-000007000000}"/>
    <cellStyle name="Moeda 2 3" xfId="25" xr:uid="{00000000-0005-0000-0000-000008000000}"/>
    <cellStyle name="Moeda 2 4" xfId="26" xr:uid="{00000000-0005-0000-0000-000009000000}"/>
    <cellStyle name="Moeda 3" xfId="5" xr:uid="{00000000-0005-0000-0000-00000A000000}"/>
    <cellStyle name="Moeda 3 2" xfId="6" xr:uid="{00000000-0005-0000-0000-00000B000000}"/>
    <cellStyle name="Moeda 4" xfId="7" xr:uid="{00000000-0005-0000-0000-00000C000000}"/>
    <cellStyle name="Moeda 4 2" xfId="27" xr:uid="{00000000-0005-0000-0000-00000D000000}"/>
    <cellStyle name="Moeda 4 3" xfId="28" xr:uid="{00000000-0005-0000-0000-00000E000000}"/>
    <cellStyle name="Moeda 4 4" xfId="29" xr:uid="{00000000-0005-0000-0000-00000F000000}"/>
    <cellStyle name="Moeda 4 5" xfId="30" xr:uid="{00000000-0005-0000-0000-000010000000}"/>
    <cellStyle name="Moeda 4 6" xfId="31" xr:uid="{00000000-0005-0000-0000-000011000000}"/>
    <cellStyle name="Moeda 4 7" xfId="32" xr:uid="{00000000-0005-0000-0000-000012000000}"/>
    <cellStyle name="Moeda 4_Atacadão_Vigilância - Taguatinga" xfId="33" xr:uid="{00000000-0005-0000-0000-000013000000}"/>
    <cellStyle name="Moeda 5" xfId="34" xr:uid="{00000000-0005-0000-0000-000014000000}"/>
    <cellStyle name="Moeda 6" xfId="35" xr:uid="{00000000-0005-0000-0000-000015000000}"/>
    <cellStyle name="Moeda 7" xfId="36" xr:uid="{00000000-0005-0000-0000-000016000000}"/>
    <cellStyle name="Moeda 8" xfId="71" xr:uid="{00000000-0005-0000-0000-000017000000}"/>
    <cellStyle name="Normal" xfId="0" builtinId="0"/>
    <cellStyle name="Normal 10" xfId="69" xr:uid="{00000000-0005-0000-0000-000019000000}"/>
    <cellStyle name="Normal 2" xfId="1" xr:uid="{00000000-0005-0000-0000-00001A000000}"/>
    <cellStyle name="Normal 2 2" xfId="8" xr:uid="{00000000-0005-0000-0000-00001B000000}"/>
    <cellStyle name="Normal 2 3" xfId="9" xr:uid="{00000000-0005-0000-0000-00001C000000}"/>
    <cellStyle name="Normal 3" xfId="10" xr:uid="{00000000-0005-0000-0000-00001D000000}"/>
    <cellStyle name="Normal 3 2" xfId="11" xr:uid="{00000000-0005-0000-0000-00001E000000}"/>
    <cellStyle name="Normal 3__HPlus_Vigilancia_Reajuste 2012" xfId="37" xr:uid="{00000000-0005-0000-0000-00001F000000}"/>
    <cellStyle name="Normal 4" xfId="18" xr:uid="{00000000-0005-0000-0000-000020000000}"/>
    <cellStyle name="Normal 5" xfId="38" xr:uid="{00000000-0005-0000-0000-000021000000}"/>
    <cellStyle name="Normal 6" xfId="39" xr:uid="{00000000-0005-0000-0000-000022000000}"/>
    <cellStyle name="Normal 7" xfId="63" xr:uid="{00000000-0005-0000-0000-000023000000}"/>
    <cellStyle name="Normal 8" xfId="65" xr:uid="{00000000-0005-0000-0000-000024000000}"/>
    <cellStyle name="Normal 9" xfId="68" xr:uid="{00000000-0005-0000-0000-000025000000}"/>
    <cellStyle name="Porcentagem" xfId="70" builtinId="5"/>
    <cellStyle name="Porcentagem 2" xfId="12" xr:uid="{00000000-0005-0000-0000-000027000000}"/>
    <cellStyle name="Porcentagem 2 2" xfId="13" xr:uid="{00000000-0005-0000-0000-000028000000}"/>
    <cellStyle name="Porcentagem 3" xfId="14" xr:uid="{00000000-0005-0000-0000-000029000000}"/>
    <cellStyle name="Porcentagem 3 2" xfId="40" xr:uid="{00000000-0005-0000-0000-00002A000000}"/>
    <cellStyle name="Porcentagem 3 3" xfId="41" xr:uid="{00000000-0005-0000-0000-00002B000000}"/>
    <cellStyle name="Porcentagem 4" xfId="15" xr:uid="{00000000-0005-0000-0000-00002C000000}"/>
    <cellStyle name="Porcentagem 5" xfId="17" xr:uid="{00000000-0005-0000-0000-00002D000000}"/>
    <cellStyle name="Porcentagem 6" xfId="19" xr:uid="{00000000-0005-0000-0000-00002E000000}"/>
    <cellStyle name="Separador de milhares 2" xfId="2" xr:uid="{00000000-0005-0000-0000-00002F000000}"/>
    <cellStyle name="Separador de milhares 2 2" xfId="16" xr:uid="{00000000-0005-0000-0000-000030000000}"/>
    <cellStyle name="Separador de milhares 2 2 2" xfId="42" xr:uid="{00000000-0005-0000-0000-000031000000}"/>
    <cellStyle name="Separador de milhares 2 3" xfId="43" xr:uid="{00000000-0005-0000-0000-000032000000}"/>
    <cellStyle name="Separador de milhares 2 4" xfId="44" xr:uid="{00000000-0005-0000-0000-000033000000}"/>
    <cellStyle name="Separador de milhares 2 5" xfId="64" xr:uid="{00000000-0005-0000-0000-000034000000}"/>
    <cellStyle name="Separador de milhares 2_Atacadão_Vigilância - Taguatinga" xfId="45" xr:uid="{00000000-0005-0000-0000-000035000000}"/>
    <cellStyle name="Separador de milhares 3" xfId="46" xr:uid="{00000000-0005-0000-0000-000036000000}"/>
    <cellStyle name="Separador de milhares 3 2" xfId="47" xr:uid="{00000000-0005-0000-0000-000037000000}"/>
    <cellStyle name="Separador de milhares 4" xfId="48" xr:uid="{00000000-0005-0000-0000-000038000000}"/>
    <cellStyle name="Separador de milhares 4 10" xfId="49" xr:uid="{00000000-0005-0000-0000-000039000000}"/>
    <cellStyle name="Separador de milhares 4 2" xfId="50" xr:uid="{00000000-0005-0000-0000-00003A000000}"/>
    <cellStyle name="Separador de milhares 4 3" xfId="51" xr:uid="{00000000-0005-0000-0000-00003B000000}"/>
    <cellStyle name="Separador de milhares 4 4" xfId="52" xr:uid="{00000000-0005-0000-0000-00003C000000}"/>
    <cellStyle name="Separador de milhares 4 5" xfId="53" xr:uid="{00000000-0005-0000-0000-00003D000000}"/>
    <cellStyle name="Separador de milhares 4 6" xfId="54" xr:uid="{00000000-0005-0000-0000-00003E000000}"/>
    <cellStyle name="Separador de milhares 4 7" xfId="55" xr:uid="{00000000-0005-0000-0000-00003F000000}"/>
    <cellStyle name="Separador de milhares 4 8" xfId="56" xr:uid="{00000000-0005-0000-0000-000040000000}"/>
    <cellStyle name="Separador de milhares 4 9" xfId="57" xr:uid="{00000000-0005-0000-0000-000041000000}"/>
    <cellStyle name="Separador de milhares 4_Atacadão_Vigilância - Taguatinga" xfId="58" xr:uid="{00000000-0005-0000-0000-000042000000}"/>
    <cellStyle name="Separador de milhares 5" xfId="59" xr:uid="{00000000-0005-0000-0000-000043000000}"/>
    <cellStyle name="Título 1 1" xfId="60" xr:uid="{00000000-0005-0000-0000-000044000000}"/>
    <cellStyle name="Título 1 1 1" xfId="61" xr:uid="{00000000-0005-0000-0000-000045000000}"/>
    <cellStyle name="Título 5" xfId="67" xr:uid="{00000000-0005-0000-0000-000046000000}"/>
    <cellStyle name="Vírgula 2" xfId="62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257175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48</xdr:row>
      <xdr:rowOff>47625</xdr:rowOff>
    </xdr:from>
    <xdr:to>
      <xdr:col>7</xdr:col>
      <xdr:colOff>164005</xdr:colOff>
      <xdr:row>53</xdr:row>
      <xdr:rowOff>161038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16125825"/>
          <a:ext cx="3345355" cy="1113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257175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48</xdr:row>
      <xdr:rowOff>47625</xdr:rowOff>
    </xdr:from>
    <xdr:to>
      <xdr:col>7</xdr:col>
      <xdr:colOff>164005</xdr:colOff>
      <xdr:row>53</xdr:row>
      <xdr:rowOff>161038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16125825"/>
          <a:ext cx="3345355" cy="1113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168275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4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52</xdr:row>
      <xdr:rowOff>47625</xdr:rowOff>
    </xdr:from>
    <xdr:to>
      <xdr:col>7</xdr:col>
      <xdr:colOff>164005</xdr:colOff>
      <xdr:row>57</xdr:row>
      <xdr:rowOff>161039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17535525"/>
          <a:ext cx="3345355" cy="1113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168275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4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49</xdr:row>
      <xdr:rowOff>47625</xdr:rowOff>
    </xdr:from>
    <xdr:to>
      <xdr:col>7</xdr:col>
      <xdr:colOff>691282</xdr:colOff>
      <xdr:row>54</xdr:row>
      <xdr:rowOff>161039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3175" y="17345025"/>
          <a:ext cx="3345355" cy="1113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25</xdr:row>
      <xdr:rowOff>15194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581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168275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874E02A-1AA2-4EF4-A540-9B62873F2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5627" cy="958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292677</xdr:colOff>
      <xdr:row>3</xdr:row>
      <xdr:rowOff>168275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382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342900</xdr:colOff>
      <xdr:row>54</xdr:row>
      <xdr:rowOff>47625</xdr:rowOff>
    </xdr:from>
    <xdr:to>
      <xdr:col>7</xdr:col>
      <xdr:colOff>189518</xdr:colOff>
      <xdr:row>59</xdr:row>
      <xdr:rowOff>161039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12601575"/>
          <a:ext cx="3340160" cy="111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Luciene%20Cristina/Google%20Drive/COMERCIAL/ZP%20CONSERVA&#199;&#195;O/PREG&#213;ES/2021/M&#227;o%20de%20obra/IGESDF/-%20PLANILHA%20-%20IGES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Luciene%20Cristina\Meu%20Drive\COMERCIAL\VIPPIM%20VIGIL&#194;NCIA\CONTRATOS\1.%20PUBLICOS\VIGIL&#194;NCIA\EMBRAPA\CONTRATOS\EMBRAPA%20SEDE\REACTUA&#199;&#195;O\2023\2%20-%20Repactua&#231;&#227;o%20Embrapa%20Sede%202023-sem%20custos%20n&#227;o%20renov&#225;veis.xlsx" TargetMode="External"/><Relationship Id="rId2" Type="http://schemas.microsoft.com/office/2019/04/relationships/externalLinkLongPath" Target="/.shortcut-targets-by-id/1eEgMmZOwqkgYEgU17SR0C2MBRk1vGoug/COMERCIAL/VIPPIM%20VIGIL&#194;NCIA/CONTRATOS/1.%20PUBLICOS/VIGIL&#194;NCIA/EMBRAPA/CONTRATO/CONTRATOS/EMBRAPA%20SEDE/REACTUA&#199;&#195;O/2023/2%20-%20Repactua&#231;&#227;o%20Embrapa%20Sede%202023-sem%20custos%20n&#227;o%20renov&#225;veis.xlsx?5FBF361A" TargetMode="External"/><Relationship Id="rId1" Type="http://schemas.openxmlformats.org/officeDocument/2006/relationships/externalLinkPath" Target="file:///\\5FBF361A\2%20-%20Repactua&#231;&#227;o%20Embrapa%20Sede%202023-sem%20custos%20n&#227;o%20renov&#225;veis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Luciene%20Cristina\Meu%20Drive\COMERCIAL\VIPPIM%20VIGIL&#194;NCIA\CONTRATOS\1.%20PUBLICOS\VIGIL&#194;NCIA\EMBRAPA\CONTRATOS\EMBRAPA%20CENARGEM\REACTUA&#199;&#195;O\2023\Repactua&#231;&#227;o%20Embrapa%20CENARGEM%202023%20-%20sem%20custos%20n&#227;o%20renov&#225;veis.xlsx" TargetMode="External"/><Relationship Id="rId2" Type="http://schemas.microsoft.com/office/2019/04/relationships/externalLinkLongPath" Target="/.shortcut-targets-by-id/1eEgMmZOwqkgYEgU17SR0C2MBRk1vGoug/COMERCIAL/VIPPIM%20VIGIL&#194;NCIA/CONTRATOS/1.%20PUBLICOS/VIGIL&#194;NCIA/EMBRAPA/CONTRATO/CONTRATOS/EMBRAPA%20CENARGEM/REACTUA&#199;&#195;O/2023/Repactua&#231;&#227;o%20Embrapa%20CENARGEM%202023%20-%20sem%20custos%20n&#227;o%20renov&#225;veis.xlsx?900164C1" TargetMode="External"/><Relationship Id="rId1" Type="http://schemas.openxmlformats.org/officeDocument/2006/relationships/externalLinkPath" Target="file:///\\900164C1\Repactua&#231;&#227;o%20Embrapa%20CENARGEM%202023%20-%20sem%20custos%20n&#227;o%20renov&#225;veis.xlsx" TargetMode="External"/></Relationships>
</file>

<file path=xl/externalLinks/_rels/externalLink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Luciene%20Cristina\Meu%20Drive\COMERCIAL\VIPPIM%20VIGIL&#194;NCIA\CONTRATOS\1.%20PUBLICOS\VIGIL&#194;NCIA\EMBRAPA\CONTRATOS\EMBRAPA%20AGROENERGIA\REACTUA&#199;&#195;O\2023\Repactua&#231;&#227;o%20Embrapa%20AGRO%202023%20-%20sem%20custos%20n&#227;o%20renov&#225;veis.xlsx" TargetMode="External"/><Relationship Id="rId2" Type="http://schemas.microsoft.com/office/2019/04/relationships/externalLinkLongPath" Target="/.shortcut-targets-by-id/1eEgMmZOwqkgYEgU17SR0C2MBRk1vGoug/COMERCIAL/VIPPIM%20VIGIL&#194;NCIA/CONTRATOS/1.%20PUBLICOS/VIGIL&#194;NCIA/EMBRAPA/CONTRATO/CONTRATOS/EMBRAPA%20AGROENERGIA/REACTUA&#199;&#195;O/2023/Repactua&#231;&#227;o%20Embrapa%20AGRO%202023%20-%20sem%20custos%20n&#227;o%20renov&#225;veis.xlsx?4CE78E1F" TargetMode="External"/><Relationship Id="rId1" Type="http://schemas.openxmlformats.org/officeDocument/2006/relationships/externalLinkPath" Target="file:///\\4CE78E1F\Repactua&#231;&#227;o%20Embrapa%20AGRO%202023%20-%20sem%20custos%20n&#227;o%20renov&#225;ve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Resumo Minimo MPOG"/>
      <sheetName val="Planilha2"/>
      <sheetName val="Postos de Trabalho"/>
      <sheetName val="Proposta Cadastro"/>
      <sheetName val="Proposta"/>
      <sheetName val="ES Memória de Cálculo"/>
      <sheetName val="1-D 12x36"/>
      <sheetName val="2-N 12x36"/>
      <sheetName val="Equip"/>
      <sheetName val="uniforme2"/>
      <sheetName val="Materiais"/>
    </sheetNames>
    <sheetDataSet>
      <sheetData sheetId="0"/>
      <sheetData sheetId="1"/>
      <sheetData sheetId="2"/>
      <sheetData sheetId="3"/>
      <sheetData sheetId="4">
        <row r="19">
          <cell r="J19">
            <v>7948495.6850483436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 Resumo Minimo MPOG"/>
      <sheetName val="Planilha2"/>
      <sheetName val="Postos de Trabalho"/>
      <sheetName val="Proposta Cadastro (2)"/>
      <sheetName val="Proposta Cadastro"/>
      <sheetName val="Agroenergia"/>
      <sheetName val="Cenargem"/>
      <sheetName val="Embrapa Agroenergia"/>
      <sheetName val="Diferença"/>
      <sheetName val="Embrapa Sede janeiro"/>
      <sheetName val="Embrapa Sede"/>
      <sheetName val="Proposta"/>
      <sheetName val="ES Memória de Cálculo"/>
      <sheetName val="1-DD"/>
      <sheetName val="2-DDM "/>
      <sheetName val="3-DDMon"/>
      <sheetName val="4-AN"/>
      <sheetName val="5-AD"/>
      <sheetName val="6-ANM"/>
      <sheetName val="7-ADM "/>
      <sheetName val="Moto"/>
      <sheetName val="Equip"/>
      <sheetName val="uniforme2"/>
      <sheetName val="Materia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2">
          <cell r="I32">
            <v>185160.04426357665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 Resumo Minimo MPOG"/>
      <sheetName val="Planilha2"/>
      <sheetName val="Postos de Trabalho"/>
      <sheetName val="Proposta Cadastro (2)"/>
      <sheetName val="Proposta Cadastro"/>
      <sheetName val="Agroenergia"/>
      <sheetName val="Diferença"/>
      <sheetName val="Fatura Cenargem janeiro"/>
      <sheetName val="Embrapa Sede"/>
      <sheetName val="Proposta"/>
      <sheetName val="Cenargem"/>
      <sheetName val="Resumo"/>
      <sheetName val="ES Memória de Cálculo"/>
      <sheetName val="1-DD"/>
      <sheetName val="2-DDM "/>
      <sheetName val="3-DDMon"/>
      <sheetName val="4-AN"/>
      <sheetName val="5-AD"/>
      <sheetName val="6-ANM"/>
      <sheetName val="7-ADM "/>
      <sheetName val="Moto"/>
      <sheetName val="Equip"/>
      <sheetName val="uniforme2"/>
      <sheetName val="Materia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I7">
            <v>183171.94930736301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lanilha Resumo Minimo MPOG"/>
      <sheetName val="Planilha2"/>
      <sheetName val="Postos de Trabalho"/>
      <sheetName val="Proposta Cadastro (2)"/>
      <sheetName val="Proposta Cadastro"/>
      <sheetName val="Agroenergia"/>
      <sheetName val="Diferença"/>
      <sheetName val="Fatura Cenargem janeiro"/>
      <sheetName val="Embrapa Agroenergia"/>
      <sheetName val="Embrapa Sede"/>
      <sheetName val="Proposta"/>
      <sheetName val="Resumo"/>
      <sheetName val="ES Memória de Cálculo"/>
      <sheetName val="1-DD"/>
      <sheetName val="2-DDM "/>
      <sheetName val="3-DDMon"/>
      <sheetName val="4-AN"/>
      <sheetName val="5-AD"/>
      <sheetName val="6-ANM"/>
      <sheetName val="7-ADM "/>
      <sheetName val="Moto"/>
      <sheetName val="Equip"/>
      <sheetName val="uniforme2"/>
      <sheetName val="Materia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2">
          <cell r="J12">
            <v>60170.387941492212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"/>
  <sheetViews>
    <sheetView view="pageBreakPreview" zoomScale="60" zoomScaleNormal="77" workbookViewId="0">
      <selection activeCell="I7" sqref="I7"/>
    </sheetView>
  </sheetViews>
  <sheetFormatPr defaultRowHeight="12.75" x14ac:dyDescent="0.25"/>
  <cols>
    <col min="1" max="1" width="8.7109375" style="19" customWidth="1"/>
    <col min="2" max="2" width="8.5703125" style="19" customWidth="1"/>
    <col min="3" max="3" width="30.140625" style="19" customWidth="1"/>
    <col min="4" max="4" width="17.42578125" style="150" customWidth="1"/>
    <col min="5" max="5" width="28.42578125" style="19" customWidth="1"/>
    <col min="6" max="7" width="10.85546875" style="19" customWidth="1"/>
    <col min="8" max="9" width="19.7109375" style="19" customWidth="1"/>
    <col min="10" max="10" width="22.42578125" style="19" bestFit="1" customWidth="1"/>
    <col min="11" max="11" width="31.42578125" style="19" customWidth="1"/>
    <col min="12" max="12" width="22.5703125" style="19" customWidth="1"/>
    <col min="13" max="13" width="18.28515625" style="19" hidden="1" customWidth="1"/>
    <col min="14" max="14" width="22.5703125" style="19" hidden="1" customWidth="1"/>
    <col min="15" max="15" width="23.28515625" style="19" hidden="1" customWidth="1"/>
    <col min="16" max="16" width="24.85546875" style="19" customWidth="1"/>
    <col min="17" max="16384" width="9.140625" style="19"/>
  </cols>
  <sheetData>
    <row r="1" spans="1:18" ht="34.5" customHeight="1" x14ac:dyDescent="0.25">
      <c r="C1" s="354" t="s">
        <v>81</v>
      </c>
      <c r="D1" s="354"/>
      <c r="E1" s="354"/>
      <c r="F1" s="354"/>
      <c r="G1" s="354"/>
      <c r="H1" s="354"/>
      <c r="I1" s="354"/>
      <c r="J1" s="354"/>
      <c r="K1" s="105"/>
      <c r="L1" s="105"/>
      <c r="M1" s="105"/>
      <c r="N1" s="105"/>
      <c r="O1" s="105"/>
      <c r="P1" s="105"/>
      <c r="Q1" s="106"/>
      <c r="R1" s="106"/>
    </row>
    <row r="2" spans="1:18" ht="45" x14ac:dyDescent="0.25">
      <c r="A2" s="107" t="s">
        <v>125</v>
      </c>
      <c r="B2" s="107" t="s">
        <v>126</v>
      </c>
      <c r="C2" s="108" t="s">
        <v>127</v>
      </c>
      <c r="D2" s="109" t="s">
        <v>82</v>
      </c>
      <c r="E2" s="109" t="s">
        <v>138</v>
      </c>
      <c r="F2" s="109" t="s">
        <v>83</v>
      </c>
      <c r="G2" s="109" t="s">
        <v>128</v>
      </c>
      <c r="H2" s="109" t="s">
        <v>157</v>
      </c>
      <c r="I2" s="109" t="s">
        <v>129</v>
      </c>
      <c r="J2" s="109" t="s">
        <v>130</v>
      </c>
      <c r="K2" s="135" t="s">
        <v>131</v>
      </c>
      <c r="L2" s="155" t="s">
        <v>158</v>
      </c>
      <c r="M2" s="151" t="s">
        <v>155</v>
      </c>
      <c r="N2" s="134" t="s">
        <v>126</v>
      </c>
      <c r="O2" s="107" t="s">
        <v>156</v>
      </c>
      <c r="P2" s="110"/>
    </row>
    <row r="3" spans="1:18" s="111" customFormat="1" ht="101.25" customHeight="1" x14ac:dyDescent="0.25">
      <c r="A3" s="355">
        <v>1</v>
      </c>
      <c r="B3" s="157">
        <v>1</v>
      </c>
      <c r="C3" s="139" t="s">
        <v>163</v>
      </c>
      <c r="D3" s="138" t="s">
        <v>85</v>
      </c>
      <c r="E3" s="140" t="s">
        <v>159</v>
      </c>
      <c r="F3" s="121">
        <v>6</v>
      </c>
      <c r="G3" s="121">
        <v>2</v>
      </c>
      <c r="H3" s="120">
        <f ca="1">'2-DDM '!C131</f>
        <v>8517.7158971606732</v>
      </c>
      <c r="I3" s="120">
        <v>15100.5399</v>
      </c>
      <c r="J3" s="120">
        <f>I3*F3</f>
        <v>90603.239399999991</v>
      </c>
      <c r="K3" s="136">
        <f>J3*12</f>
        <v>1087238.8728</v>
      </c>
      <c r="L3" s="155">
        <v>1</v>
      </c>
      <c r="M3" s="123">
        <f ca="1">H3*12</f>
        <v>102212.59076592808</v>
      </c>
      <c r="N3" s="134">
        <v>1</v>
      </c>
      <c r="O3" s="123">
        <f ca="1">M3*12</f>
        <v>1226551.0891911369</v>
      </c>
      <c r="P3" s="112"/>
    </row>
    <row r="4" spans="1:18" s="111" customFormat="1" ht="101.25" customHeight="1" x14ac:dyDescent="0.25">
      <c r="A4" s="356"/>
      <c r="B4" s="157">
        <v>2</v>
      </c>
      <c r="C4" s="139" t="s">
        <v>163</v>
      </c>
      <c r="D4" s="138" t="s">
        <v>84</v>
      </c>
      <c r="E4" s="140" t="s">
        <v>160</v>
      </c>
      <c r="F4" s="121">
        <v>6</v>
      </c>
      <c r="G4" s="121">
        <v>2</v>
      </c>
      <c r="H4" s="120">
        <f ca="1">'3-DDMon'!C131</f>
        <v>7515.6509975338686</v>
      </c>
      <c r="I4" s="120">
        <v>16451.589899999999</v>
      </c>
      <c r="J4" s="120">
        <f>I4*F4</f>
        <v>98709.539399999994</v>
      </c>
      <c r="K4" s="136">
        <f>J4*12</f>
        <v>1184514.4727999999</v>
      </c>
      <c r="L4" s="155">
        <v>2</v>
      </c>
      <c r="M4" s="123">
        <f ca="1">H4*12</f>
        <v>90187.811970406416</v>
      </c>
      <c r="N4" s="134">
        <v>1</v>
      </c>
      <c r="O4" s="123">
        <f ca="1">M4*12</f>
        <v>1082253.7436448769</v>
      </c>
      <c r="P4" s="112"/>
    </row>
    <row r="5" spans="1:18" ht="81.75" customHeight="1" x14ac:dyDescent="0.25">
      <c r="A5" s="356"/>
      <c r="B5" s="157">
        <v>3</v>
      </c>
      <c r="C5" s="139" t="s">
        <v>106</v>
      </c>
      <c r="D5" s="149" t="s">
        <v>85</v>
      </c>
      <c r="E5" s="140" t="s">
        <v>161</v>
      </c>
      <c r="F5" s="122">
        <v>2</v>
      </c>
      <c r="G5" s="122">
        <v>1</v>
      </c>
      <c r="H5" s="120" t="e">
        <f>#REF!</f>
        <v>#REF!</v>
      </c>
      <c r="I5" s="120">
        <v>7914.1998999999996</v>
      </c>
      <c r="J5" s="120">
        <f>I5*F5</f>
        <v>15828.399799999999</v>
      </c>
      <c r="K5" s="136">
        <f>J5*12</f>
        <v>189940.79759999999</v>
      </c>
      <c r="L5" s="155">
        <v>3</v>
      </c>
      <c r="M5" s="123" t="e">
        <f>H5*12</f>
        <v>#REF!</v>
      </c>
      <c r="N5" s="134">
        <v>3</v>
      </c>
      <c r="O5" s="123" t="e">
        <f>M5*F5</f>
        <v>#REF!</v>
      </c>
      <c r="P5" s="113"/>
    </row>
    <row r="6" spans="1:18" ht="81.75" customHeight="1" x14ac:dyDescent="0.25">
      <c r="A6" s="357"/>
      <c r="B6" s="157">
        <v>3</v>
      </c>
      <c r="C6" s="139" t="s">
        <v>163</v>
      </c>
      <c r="D6" s="149" t="s">
        <v>85</v>
      </c>
      <c r="E6" s="140" t="s">
        <v>162</v>
      </c>
      <c r="F6" s="122">
        <v>2</v>
      </c>
      <c r="G6" s="122">
        <v>1</v>
      </c>
      <c r="H6" s="120" t="e">
        <f>#REF!</f>
        <v>#REF!</v>
      </c>
      <c r="I6" s="120">
        <v>7914.1998999999996</v>
      </c>
      <c r="J6" s="120">
        <f>I6*F6</f>
        <v>15828.399799999999</v>
      </c>
      <c r="K6" s="136">
        <f>J6*12</f>
        <v>189940.79759999999</v>
      </c>
      <c r="L6" s="155">
        <v>4</v>
      </c>
      <c r="M6" s="123" t="e">
        <f>H6*12</f>
        <v>#REF!</v>
      </c>
      <c r="N6" s="134">
        <v>3</v>
      </c>
      <c r="O6" s="123" t="e">
        <f>M6*F6</f>
        <v>#REF!</v>
      </c>
      <c r="P6" s="113"/>
    </row>
    <row r="7" spans="1:18" s="115" customFormat="1" ht="30" customHeight="1" x14ac:dyDescent="0.25">
      <c r="A7" s="358" t="s">
        <v>0</v>
      </c>
      <c r="B7" s="359"/>
      <c r="C7" s="359"/>
      <c r="D7" s="359"/>
      <c r="E7" s="359"/>
      <c r="F7" s="148">
        <f>SUM(F3:F6)</f>
        <v>16</v>
      </c>
      <c r="G7" s="148">
        <f>SUM(G3:G6)</f>
        <v>6</v>
      </c>
      <c r="H7" s="144"/>
      <c r="I7" s="144"/>
      <c r="J7" s="137">
        <f>SUM(J3:J6)</f>
        <v>220969.5784</v>
      </c>
      <c r="K7" s="137">
        <f>SUM(K3:K6)</f>
        <v>2651634.9408</v>
      </c>
      <c r="L7" s="144" t="s">
        <v>0</v>
      </c>
      <c r="M7" s="137" t="e">
        <f ca="1">SUM(M4:M6)</f>
        <v>#REF!</v>
      </c>
      <c r="N7" s="144" t="s">
        <v>0</v>
      </c>
      <c r="O7" s="137" t="e">
        <f ca="1">SUM(O4:O6)</f>
        <v>#REF!</v>
      </c>
    </row>
    <row r="8" spans="1:18" ht="33.75" customHeight="1" x14ac:dyDescent="0.25">
      <c r="C8" s="114"/>
      <c r="D8" s="117"/>
      <c r="E8" s="114"/>
      <c r="F8" s="114"/>
      <c r="G8" s="114"/>
      <c r="H8" s="114"/>
      <c r="I8" s="114"/>
      <c r="J8" s="114"/>
      <c r="K8" s="156"/>
      <c r="L8" s="114"/>
      <c r="M8" s="133"/>
      <c r="N8" s="114"/>
      <c r="O8" s="114"/>
      <c r="P8" s="114"/>
      <c r="Q8" s="106"/>
      <c r="R8" s="106"/>
    </row>
    <row r="9" spans="1:18" ht="12.75" customHeight="1" x14ac:dyDescent="0.25">
      <c r="C9" s="114"/>
      <c r="D9" s="117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06"/>
      <c r="R9" s="106"/>
    </row>
    <row r="10" spans="1:18" ht="27" customHeight="1" x14ac:dyDescent="0.25">
      <c r="C10" s="114"/>
      <c r="D10" s="117"/>
      <c r="E10" s="114"/>
      <c r="F10" s="114"/>
      <c r="G10" s="132"/>
      <c r="H10" s="114"/>
      <c r="I10" s="114"/>
      <c r="J10" s="114"/>
      <c r="K10" s="114"/>
      <c r="L10" s="113"/>
      <c r="N10" s="113"/>
      <c r="O10" s="113"/>
      <c r="P10" s="113"/>
      <c r="Q10" s="106"/>
      <c r="R10" s="106"/>
    </row>
    <row r="11" spans="1:18" ht="15" x14ac:dyDescent="0.25">
      <c r="C11" s="114"/>
      <c r="D11" s="117"/>
      <c r="E11" s="114"/>
      <c r="F11" s="114"/>
      <c r="G11" s="114"/>
      <c r="H11" s="114"/>
      <c r="I11" s="114"/>
      <c r="J11" s="114"/>
      <c r="K11" s="114"/>
      <c r="L11" s="116"/>
      <c r="N11" s="116"/>
      <c r="O11" s="116"/>
      <c r="Q11" s="106"/>
      <c r="R11" s="106"/>
    </row>
    <row r="12" spans="1:18" ht="15" x14ac:dyDescent="0.25">
      <c r="C12" s="114"/>
      <c r="D12" s="117"/>
      <c r="E12" s="114"/>
      <c r="F12" s="114"/>
      <c r="G12" s="114"/>
      <c r="H12" s="114"/>
      <c r="I12" s="114"/>
      <c r="J12" s="114"/>
      <c r="K12" s="114"/>
      <c r="L12" s="116"/>
      <c r="N12" s="116"/>
      <c r="O12" s="117"/>
      <c r="Q12" s="106"/>
      <c r="R12" s="106"/>
    </row>
    <row r="13" spans="1:18" ht="15" customHeight="1" x14ac:dyDescent="0.25">
      <c r="C13" s="114"/>
      <c r="D13" s="117"/>
      <c r="E13" s="114"/>
      <c r="F13" s="114"/>
      <c r="G13" s="114"/>
      <c r="H13" s="114"/>
      <c r="I13" s="114"/>
      <c r="J13" s="114"/>
      <c r="K13" s="114"/>
      <c r="Q13" s="106"/>
      <c r="R13" s="106"/>
    </row>
    <row r="14" spans="1:18" ht="15" customHeight="1" x14ac:dyDescent="0.25">
      <c r="C14" s="114"/>
      <c r="D14" s="117"/>
      <c r="E14" s="114"/>
      <c r="F14" s="114"/>
      <c r="G14" s="114"/>
      <c r="H14" s="114"/>
      <c r="I14" s="114"/>
      <c r="J14" s="114"/>
      <c r="K14" s="114"/>
      <c r="Q14" s="106"/>
      <c r="R14" s="106"/>
    </row>
    <row r="15" spans="1:18" ht="15.75" customHeight="1" x14ac:dyDescent="0.25">
      <c r="C15" s="114"/>
      <c r="D15" s="117"/>
      <c r="E15" s="114"/>
      <c r="F15" s="114"/>
      <c r="G15" s="114"/>
      <c r="H15" s="114"/>
      <c r="I15" s="114"/>
      <c r="J15" s="114"/>
      <c r="K15" s="114"/>
      <c r="Q15" s="106"/>
      <c r="R15" s="118"/>
    </row>
    <row r="16" spans="1:18" ht="15" customHeight="1" x14ac:dyDescent="0.25">
      <c r="C16" s="114"/>
      <c r="D16" s="117"/>
      <c r="E16" s="114"/>
      <c r="F16" s="114"/>
      <c r="G16" s="114"/>
      <c r="H16" s="114"/>
      <c r="I16" s="114"/>
      <c r="J16" s="114"/>
      <c r="K16" s="114"/>
      <c r="Q16" s="106"/>
      <c r="R16" s="119"/>
    </row>
    <row r="17" spans="3:18" ht="15" customHeight="1" x14ac:dyDescent="0.25">
      <c r="C17" s="114"/>
      <c r="D17" s="117"/>
      <c r="E17" s="114"/>
      <c r="F17" s="114"/>
      <c r="G17" s="114"/>
      <c r="H17" s="114"/>
      <c r="I17" s="114"/>
      <c r="J17" s="114"/>
      <c r="K17" s="114"/>
      <c r="Q17" s="106"/>
      <c r="R17" s="119"/>
    </row>
    <row r="18" spans="3:18" ht="15" customHeight="1" x14ac:dyDescent="0.25">
      <c r="C18" s="114"/>
      <c r="D18" s="117"/>
      <c r="E18" s="114"/>
      <c r="F18" s="114"/>
      <c r="G18" s="114"/>
      <c r="H18" s="114"/>
      <c r="I18" s="114"/>
      <c r="J18" s="114"/>
      <c r="K18" s="133"/>
    </row>
  </sheetData>
  <mergeCells count="3">
    <mergeCell ref="C1:J1"/>
    <mergeCell ref="A3:A6"/>
    <mergeCell ref="A7:E7"/>
  </mergeCells>
  <pageMargins left="0.511811024" right="0.511811024" top="0.78740157499999996" bottom="0.78740157499999996" header="0.31496062000000002" footer="0.31496062000000002"/>
  <pageSetup paperSize="9" scale="4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T61"/>
  <sheetViews>
    <sheetView showGridLines="0" view="pageBreakPreview" topLeftCell="A29" zoomScale="112" zoomScaleNormal="100" zoomScaleSheetLayoutView="112" workbookViewId="0">
      <selection activeCell="I32" sqref="I32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2.42578125" style="22" customWidth="1"/>
    <col min="6" max="6" width="10.7109375" style="22" customWidth="1"/>
    <col min="7" max="7" width="13.85546875" style="22" customWidth="1"/>
    <col min="8" max="8" width="15.28515625" style="22" customWidth="1"/>
    <col min="9" max="11" width="16.42578125" style="22" customWidth="1"/>
    <col min="12" max="12" width="11" style="22" bestFit="1" customWidth="1"/>
    <col min="13" max="245" width="9.140625" style="22"/>
    <col min="246" max="246" width="3.28515625" style="22" customWidth="1"/>
    <col min="247" max="247" width="29" style="22" customWidth="1"/>
    <col min="248" max="248" width="14" style="22" customWidth="1"/>
    <col min="249" max="249" width="11.28515625" style="22" customWidth="1"/>
    <col min="250" max="250" width="16.7109375" style="22" customWidth="1"/>
    <col min="251" max="251" width="8.85546875" style="22" customWidth="1"/>
    <col min="252" max="252" width="29" style="22" customWidth="1"/>
    <col min="253" max="501" width="9.140625" style="22"/>
    <col min="502" max="502" width="3.28515625" style="22" customWidth="1"/>
    <col min="503" max="503" width="29" style="22" customWidth="1"/>
    <col min="504" max="504" width="14" style="22" customWidth="1"/>
    <col min="505" max="505" width="11.28515625" style="22" customWidth="1"/>
    <col min="506" max="506" width="16.7109375" style="22" customWidth="1"/>
    <col min="507" max="507" width="8.85546875" style="22" customWidth="1"/>
    <col min="508" max="508" width="29" style="22" customWidth="1"/>
    <col min="509" max="757" width="9.140625" style="22"/>
    <col min="758" max="758" width="3.28515625" style="22" customWidth="1"/>
    <col min="759" max="759" width="29" style="22" customWidth="1"/>
    <col min="760" max="760" width="14" style="22" customWidth="1"/>
    <col min="761" max="761" width="11.28515625" style="22" customWidth="1"/>
    <col min="762" max="762" width="16.7109375" style="22" customWidth="1"/>
    <col min="763" max="763" width="8.85546875" style="22" customWidth="1"/>
    <col min="764" max="764" width="29" style="22" customWidth="1"/>
    <col min="765" max="1013" width="9.140625" style="22"/>
    <col min="1014" max="1014" width="3.28515625" style="22" customWidth="1"/>
    <col min="1015" max="1015" width="29" style="22" customWidth="1"/>
    <col min="1016" max="1016" width="14" style="22" customWidth="1"/>
    <col min="1017" max="1017" width="11.28515625" style="22" customWidth="1"/>
    <col min="1018" max="1018" width="16.7109375" style="22" customWidth="1"/>
    <col min="1019" max="1019" width="8.85546875" style="22" customWidth="1"/>
    <col min="1020" max="1020" width="29" style="22" customWidth="1"/>
    <col min="1021" max="1269" width="9.140625" style="22"/>
    <col min="1270" max="1270" width="3.28515625" style="22" customWidth="1"/>
    <col min="1271" max="1271" width="29" style="22" customWidth="1"/>
    <col min="1272" max="1272" width="14" style="22" customWidth="1"/>
    <col min="1273" max="1273" width="11.28515625" style="22" customWidth="1"/>
    <col min="1274" max="1274" width="16.7109375" style="22" customWidth="1"/>
    <col min="1275" max="1275" width="8.85546875" style="22" customWidth="1"/>
    <col min="1276" max="1276" width="29" style="22" customWidth="1"/>
    <col min="1277" max="1525" width="9.140625" style="22"/>
    <col min="1526" max="1526" width="3.28515625" style="22" customWidth="1"/>
    <col min="1527" max="1527" width="29" style="22" customWidth="1"/>
    <col min="1528" max="1528" width="14" style="22" customWidth="1"/>
    <col min="1529" max="1529" width="11.28515625" style="22" customWidth="1"/>
    <col min="1530" max="1530" width="16.7109375" style="22" customWidth="1"/>
    <col min="1531" max="1531" width="8.85546875" style="22" customWidth="1"/>
    <col min="1532" max="1532" width="29" style="22" customWidth="1"/>
    <col min="1533" max="1781" width="9.140625" style="22"/>
    <col min="1782" max="1782" width="3.28515625" style="22" customWidth="1"/>
    <col min="1783" max="1783" width="29" style="22" customWidth="1"/>
    <col min="1784" max="1784" width="14" style="22" customWidth="1"/>
    <col min="1785" max="1785" width="11.28515625" style="22" customWidth="1"/>
    <col min="1786" max="1786" width="16.7109375" style="22" customWidth="1"/>
    <col min="1787" max="1787" width="8.85546875" style="22" customWidth="1"/>
    <col min="1788" max="1788" width="29" style="22" customWidth="1"/>
    <col min="1789" max="2037" width="9.140625" style="22"/>
    <col min="2038" max="2038" width="3.28515625" style="22" customWidth="1"/>
    <col min="2039" max="2039" width="29" style="22" customWidth="1"/>
    <col min="2040" max="2040" width="14" style="22" customWidth="1"/>
    <col min="2041" max="2041" width="11.28515625" style="22" customWidth="1"/>
    <col min="2042" max="2042" width="16.7109375" style="22" customWidth="1"/>
    <col min="2043" max="2043" width="8.85546875" style="22" customWidth="1"/>
    <col min="2044" max="2044" width="29" style="22" customWidth="1"/>
    <col min="2045" max="2293" width="9.140625" style="22"/>
    <col min="2294" max="2294" width="3.28515625" style="22" customWidth="1"/>
    <col min="2295" max="2295" width="29" style="22" customWidth="1"/>
    <col min="2296" max="2296" width="14" style="22" customWidth="1"/>
    <col min="2297" max="2297" width="11.28515625" style="22" customWidth="1"/>
    <col min="2298" max="2298" width="16.7109375" style="22" customWidth="1"/>
    <col min="2299" max="2299" width="8.85546875" style="22" customWidth="1"/>
    <col min="2300" max="2300" width="29" style="22" customWidth="1"/>
    <col min="2301" max="2549" width="9.140625" style="22"/>
    <col min="2550" max="2550" width="3.28515625" style="22" customWidth="1"/>
    <col min="2551" max="2551" width="29" style="22" customWidth="1"/>
    <col min="2552" max="2552" width="14" style="22" customWidth="1"/>
    <col min="2553" max="2553" width="11.28515625" style="22" customWidth="1"/>
    <col min="2554" max="2554" width="16.7109375" style="22" customWidth="1"/>
    <col min="2555" max="2555" width="8.85546875" style="22" customWidth="1"/>
    <col min="2556" max="2556" width="29" style="22" customWidth="1"/>
    <col min="2557" max="2805" width="9.140625" style="22"/>
    <col min="2806" max="2806" width="3.28515625" style="22" customWidth="1"/>
    <col min="2807" max="2807" width="29" style="22" customWidth="1"/>
    <col min="2808" max="2808" width="14" style="22" customWidth="1"/>
    <col min="2809" max="2809" width="11.28515625" style="22" customWidth="1"/>
    <col min="2810" max="2810" width="16.7109375" style="22" customWidth="1"/>
    <col min="2811" max="2811" width="8.85546875" style="22" customWidth="1"/>
    <col min="2812" max="2812" width="29" style="22" customWidth="1"/>
    <col min="2813" max="3061" width="9.140625" style="22"/>
    <col min="3062" max="3062" width="3.28515625" style="22" customWidth="1"/>
    <col min="3063" max="3063" width="29" style="22" customWidth="1"/>
    <col min="3064" max="3064" width="14" style="22" customWidth="1"/>
    <col min="3065" max="3065" width="11.28515625" style="22" customWidth="1"/>
    <col min="3066" max="3066" width="16.7109375" style="22" customWidth="1"/>
    <col min="3067" max="3067" width="8.85546875" style="22" customWidth="1"/>
    <col min="3068" max="3068" width="29" style="22" customWidth="1"/>
    <col min="3069" max="3317" width="9.140625" style="22"/>
    <col min="3318" max="3318" width="3.28515625" style="22" customWidth="1"/>
    <col min="3319" max="3319" width="29" style="22" customWidth="1"/>
    <col min="3320" max="3320" width="14" style="22" customWidth="1"/>
    <col min="3321" max="3321" width="11.28515625" style="22" customWidth="1"/>
    <col min="3322" max="3322" width="16.7109375" style="22" customWidth="1"/>
    <col min="3323" max="3323" width="8.85546875" style="22" customWidth="1"/>
    <col min="3324" max="3324" width="29" style="22" customWidth="1"/>
    <col min="3325" max="3573" width="9.140625" style="22"/>
    <col min="3574" max="3574" width="3.28515625" style="22" customWidth="1"/>
    <col min="3575" max="3575" width="29" style="22" customWidth="1"/>
    <col min="3576" max="3576" width="14" style="22" customWidth="1"/>
    <col min="3577" max="3577" width="11.28515625" style="22" customWidth="1"/>
    <col min="3578" max="3578" width="16.7109375" style="22" customWidth="1"/>
    <col min="3579" max="3579" width="8.85546875" style="22" customWidth="1"/>
    <col min="3580" max="3580" width="29" style="22" customWidth="1"/>
    <col min="3581" max="3829" width="9.140625" style="22"/>
    <col min="3830" max="3830" width="3.28515625" style="22" customWidth="1"/>
    <col min="3831" max="3831" width="29" style="22" customWidth="1"/>
    <col min="3832" max="3832" width="14" style="22" customWidth="1"/>
    <col min="3833" max="3833" width="11.28515625" style="22" customWidth="1"/>
    <col min="3834" max="3834" width="16.7109375" style="22" customWidth="1"/>
    <col min="3835" max="3835" width="8.85546875" style="22" customWidth="1"/>
    <col min="3836" max="3836" width="29" style="22" customWidth="1"/>
    <col min="3837" max="4085" width="9.140625" style="22"/>
    <col min="4086" max="4086" width="3.28515625" style="22" customWidth="1"/>
    <col min="4087" max="4087" width="29" style="22" customWidth="1"/>
    <col min="4088" max="4088" width="14" style="22" customWidth="1"/>
    <col min="4089" max="4089" width="11.28515625" style="22" customWidth="1"/>
    <col min="4090" max="4090" width="16.7109375" style="22" customWidth="1"/>
    <col min="4091" max="4091" width="8.85546875" style="22" customWidth="1"/>
    <col min="4092" max="4092" width="29" style="22" customWidth="1"/>
    <col min="4093" max="4341" width="9.140625" style="22"/>
    <col min="4342" max="4342" width="3.28515625" style="22" customWidth="1"/>
    <col min="4343" max="4343" width="29" style="22" customWidth="1"/>
    <col min="4344" max="4344" width="14" style="22" customWidth="1"/>
    <col min="4345" max="4345" width="11.28515625" style="22" customWidth="1"/>
    <col min="4346" max="4346" width="16.7109375" style="22" customWidth="1"/>
    <col min="4347" max="4347" width="8.85546875" style="22" customWidth="1"/>
    <col min="4348" max="4348" width="29" style="22" customWidth="1"/>
    <col min="4349" max="4597" width="9.140625" style="22"/>
    <col min="4598" max="4598" width="3.28515625" style="22" customWidth="1"/>
    <col min="4599" max="4599" width="29" style="22" customWidth="1"/>
    <col min="4600" max="4600" width="14" style="22" customWidth="1"/>
    <col min="4601" max="4601" width="11.28515625" style="22" customWidth="1"/>
    <col min="4602" max="4602" width="16.7109375" style="22" customWidth="1"/>
    <col min="4603" max="4603" width="8.85546875" style="22" customWidth="1"/>
    <col min="4604" max="4604" width="29" style="22" customWidth="1"/>
    <col min="4605" max="4853" width="9.140625" style="22"/>
    <col min="4854" max="4854" width="3.28515625" style="22" customWidth="1"/>
    <col min="4855" max="4855" width="29" style="22" customWidth="1"/>
    <col min="4856" max="4856" width="14" style="22" customWidth="1"/>
    <col min="4857" max="4857" width="11.28515625" style="22" customWidth="1"/>
    <col min="4858" max="4858" width="16.7109375" style="22" customWidth="1"/>
    <col min="4859" max="4859" width="8.85546875" style="22" customWidth="1"/>
    <col min="4860" max="4860" width="29" style="22" customWidth="1"/>
    <col min="4861" max="5109" width="9.140625" style="22"/>
    <col min="5110" max="5110" width="3.28515625" style="22" customWidth="1"/>
    <col min="5111" max="5111" width="29" style="22" customWidth="1"/>
    <col min="5112" max="5112" width="14" style="22" customWidth="1"/>
    <col min="5113" max="5113" width="11.28515625" style="22" customWidth="1"/>
    <col min="5114" max="5114" width="16.7109375" style="22" customWidth="1"/>
    <col min="5115" max="5115" width="8.85546875" style="22" customWidth="1"/>
    <col min="5116" max="5116" width="29" style="22" customWidth="1"/>
    <col min="5117" max="5365" width="9.140625" style="22"/>
    <col min="5366" max="5366" width="3.28515625" style="22" customWidth="1"/>
    <col min="5367" max="5367" width="29" style="22" customWidth="1"/>
    <col min="5368" max="5368" width="14" style="22" customWidth="1"/>
    <col min="5369" max="5369" width="11.28515625" style="22" customWidth="1"/>
    <col min="5370" max="5370" width="16.7109375" style="22" customWidth="1"/>
    <col min="5371" max="5371" width="8.85546875" style="22" customWidth="1"/>
    <col min="5372" max="5372" width="29" style="22" customWidth="1"/>
    <col min="5373" max="5621" width="9.140625" style="22"/>
    <col min="5622" max="5622" width="3.28515625" style="22" customWidth="1"/>
    <col min="5623" max="5623" width="29" style="22" customWidth="1"/>
    <col min="5624" max="5624" width="14" style="22" customWidth="1"/>
    <col min="5625" max="5625" width="11.28515625" style="22" customWidth="1"/>
    <col min="5626" max="5626" width="16.7109375" style="22" customWidth="1"/>
    <col min="5627" max="5627" width="8.85546875" style="22" customWidth="1"/>
    <col min="5628" max="5628" width="29" style="22" customWidth="1"/>
    <col min="5629" max="5877" width="9.140625" style="22"/>
    <col min="5878" max="5878" width="3.28515625" style="22" customWidth="1"/>
    <col min="5879" max="5879" width="29" style="22" customWidth="1"/>
    <col min="5880" max="5880" width="14" style="22" customWidth="1"/>
    <col min="5881" max="5881" width="11.28515625" style="22" customWidth="1"/>
    <col min="5882" max="5882" width="16.7109375" style="22" customWidth="1"/>
    <col min="5883" max="5883" width="8.85546875" style="22" customWidth="1"/>
    <col min="5884" max="5884" width="29" style="22" customWidth="1"/>
    <col min="5885" max="6133" width="9.140625" style="22"/>
    <col min="6134" max="6134" width="3.28515625" style="22" customWidth="1"/>
    <col min="6135" max="6135" width="29" style="22" customWidth="1"/>
    <col min="6136" max="6136" width="14" style="22" customWidth="1"/>
    <col min="6137" max="6137" width="11.28515625" style="22" customWidth="1"/>
    <col min="6138" max="6138" width="16.7109375" style="22" customWidth="1"/>
    <col min="6139" max="6139" width="8.85546875" style="22" customWidth="1"/>
    <col min="6140" max="6140" width="29" style="22" customWidth="1"/>
    <col min="6141" max="6389" width="9.140625" style="22"/>
    <col min="6390" max="6390" width="3.28515625" style="22" customWidth="1"/>
    <col min="6391" max="6391" width="29" style="22" customWidth="1"/>
    <col min="6392" max="6392" width="14" style="22" customWidth="1"/>
    <col min="6393" max="6393" width="11.28515625" style="22" customWidth="1"/>
    <col min="6394" max="6394" width="16.7109375" style="22" customWidth="1"/>
    <col min="6395" max="6395" width="8.85546875" style="22" customWidth="1"/>
    <col min="6396" max="6396" width="29" style="22" customWidth="1"/>
    <col min="6397" max="6645" width="9.140625" style="22"/>
    <col min="6646" max="6646" width="3.28515625" style="22" customWidth="1"/>
    <col min="6647" max="6647" width="29" style="22" customWidth="1"/>
    <col min="6648" max="6648" width="14" style="22" customWidth="1"/>
    <col min="6649" max="6649" width="11.28515625" style="22" customWidth="1"/>
    <col min="6650" max="6650" width="16.7109375" style="22" customWidth="1"/>
    <col min="6651" max="6651" width="8.85546875" style="22" customWidth="1"/>
    <col min="6652" max="6652" width="29" style="22" customWidth="1"/>
    <col min="6653" max="6901" width="9.140625" style="22"/>
    <col min="6902" max="6902" width="3.28515625" style="22" customWidth="1"/>
    <col min="6903" max="6903" width="29" style="22" customWidth="1"/>
    <col min="6904" max="6904" width="14" style="22" customWidth="1"/>
    <col min="6905" max="6905" width="11.28515625" style="22" customWidth="1"/>
    <col min="6906" max="6906" width="16.7109375" style="22" customWidth="1"/>
    <col min="6907" max="6907" width="8.85546875" style="22" customWidth="1"/>
    <col min="6908" max="6908" width="29" style="22" customWidth="1"/>
    <col min="6909" max="7157" width="9.140625" style="22"/>
    <col min="7158" max="7158" width="3.28515625" style="22" customWidth="1"/>
    <col min="7159" max="7159" width="29" style="22" customWidth="1"/>
    <col min="7160" max="7160" width="14" style="22" customWidth="1"/>
    <col min="7161" max="7161" width="11.28515625" style="22" customWidth="1"/>
    <col min="7162" max="7162" width="16.7109375" style="22" customWidth="1"/>
    <col min="7163" max="7163" width="8.85546875" style="22" customWidth="1"/>
    <col min="7164" max="7164" width="29" style="22" customWidth="1"/>
    <col min="7165" max="7413" width="9.140625" style="22"/>
    <col min="7414" max="7414" width="3.28515625" style="22" customWidth="1"/>
    <col min="7415" max="7415" width="29" style="22" customWidth="1"/>
    <col min="7416" max="7416" width="14" style="22" customWidth="1"/>
    <col min="7417" max="7417" width="11.28515625" style="22" customWidth="1"/>
    <col min="7418" max="7418" width="16.7109375" style="22" customWidth="1"/>
    <col min="7419" max="7419" width="8.85546875" style="22" customWidth="1"/>
    <col min="7420" max="7420" width="29" style="22" customWidth="1"/>
    <col min="7421" max="7669" width="9.140625" style="22"/>
    <col min="7670" max="7670" width="3.28515625" style="22" customWidth="1"/>
    <col min="7671" max="7671" width="29" style="22" customWidth="1"/>
    <col min="7672" max="7672" width="14" style="22" customWidth="1"/>
    <col min="7673" max="7673" width="11.28515625" style="22" customWidth="1"/>
    <col min="7674" max="7674" width="16.7109375" style="22" customWidth="1"/>
    <col min="7675" max="7675" width="8.85546875" style="22" customWidth="1"/>
    <col min="7676" max="7676" width="29" style="22" customWidth="1"/>
    <col min="7677" max="7925" width="9.140625" style="22"/>
    <col min="7926" max="7926" width="3.28515625" style="22" customWidth="1"/>
    <col min="7927" max="7927" width="29" style="22" customWidth="1"/>
    <col min="7928" max="7928" width="14" style="22" customWidth="1"/>
    <col min="7929" max="7929" width="11.28515625" style="22" customWidth="1"/>
    <col min="7930" max="7930" width="16.7109375" style="22" customWidth="1"/>
    <col min="7931" max="7931" width="8.85546875" style="22" customWidth="1"/>
    <col min="7932" max="7932" width="29" style="22" customWidth="1"/>
    <col min="7933" max="8181" width="9.140625" style="22"/>
    <col min="8182" max="8182" width="3.28515625" style="22" customWidth="1"/>
    <col min="8183" max="8183" width="29" style="22" customWidth="1"/>
    <col min="8184" max="8184" width="14" style="22" customWidth="1"/>
    <col min="8185" max="8185" width="11.28515625" style="22" customWidth="1"/>
    <col min="8186" max="8186" width="16.7109375" style="22" customWidth="1"/>
    <col min="8187" max="8187" width="8.85546875" style="22" customWidth="1"/>
    <col min="8188" max="8188" width="29" style="22" customWidth="1"/>
    <col min="8189" max="8437" width="9.140625" style="22"/>
    <col min="8438" max="8438" width="3.28515625" style="22" customWidth="1"/>
    <col min="8439" max="8439" width="29" style="22" customWidth="1"/>
    <col min="8440" max="8440" width="14" style="22" customWidth="1"/>
    <col min="8441" max="8441" width="11.28515625" style="22" customWidth="1"/>
    <col min="8442" max="8442" width="16.7109375" style="22" customWidth="1"/>
    <col min="8443" max="8443" width="8.85546875" style="22" customWidth="1"/>
    <col min="8444" max="8444" width="29" style="22" customWidth="1"/>
    <col min="8445" max="8693" width="9.140625" style="22"/>
    <col min="8694" max="8694" width="3.28515625" style="22" customWidth="1"/>
    <col min="8695" max="8695" width="29" style="22" customWidth="1"/>
    <col min="8696" max="8696" width="14" style="22" customWidth="1"/>
    <col min="8697" max="8697" width="11.28515625" style="22" customWidth="1"/>
    <col min="8698" max="8698" width="16.7109375" style="22" customWidth="1"/>
    <col min="8699" max="8699" width="8.85546875" style="22" customWidth="1"/>
    <col min="8700" max="8700" width="29" style="22" customWidth="1"/>
    <col min="8701" max="8949" width="9.140625" style="22"/>
    <col min="8950" max="8950" width="3.28515625" style="22" customWidth="1"/>
    <col min="8951" max="8951" width="29" style="22" customWidth="1"/>
    <col min="8952" max="8952" width="14" style="22" customWidth="1"/>
    <col min="8953" max="8953" width="11.28515625" style="22" customWidth="1"/>
    <col min="8954" max="8954" width="16.7109375" style="22" customWidth="1"/>
    <col min="8955" max="8955" width="8.85546875" style="22" customWidth="1"/>
    <col min="8956" max="8956" width="29" style="22" customWidth="1"/>
    <col min="8957" max="9205" width="9.140625" style="22"/>
    <col min="9206" max="9206" width="3.28515625" style="22" customWidth="1"/>
    <col min="9207" max="9207" width="29" style="22" customWidth="1"/>
    <col min="9208" max="9208" width="14" style="22" customWidth="1"/>
    <col min="9209" max="9209" width="11.28515625" style="22" customWidth="1"/>
    <col min="9210" max="9210" width="16.7109375" style="22" customWidth="1"/>
    <col min="9211" max="9211" width="8.85546875" style="22" customWidth="1"/>
    <col min="9212" max="9212" width="29" style="22" customWidth="1"/>
    <col min="9213" max="9461" width="9.140625" style="22"/>
    <col min="9462" max="9462" width="3.28515625" style="22" customWidth="1"/>
    <col min="9463" max="9463" width="29" style="22" customWidth="1"/>
    <col min="9464" max="9464" width="14" style="22" customWidth="1"/>
    <col min="9465" max="9465" width="11.28515625" style="22" customWidth="1"/>
    <col min="9466" max="9466" width="16.7109375" style="22" customWidth="1"/>
    <col min="9467" max="9467" width="8.85546875" style="22" customWidth="1"/>
    <col min="9468" max="9468" width="29" style="22" customWidth="1"/>
    <col min="9469" max="9717" width="9.140625" style="22"/>
    <col min="9718" max="9718" width="3.28515625" style="22" customWidth="1"/>
    <col min="9719" max="9719" width="29" style="22" customWidth="1"/>
    <col min="9720" max="9720" width="14" style="22" customWidth="1"/>
    <col min="9721" max="9721" width="11.28515625" style="22" customWidth="1"/>
    <col min="9722" max="9722" width="16.7109375" style="22" customWidth="1"/>
    <col min="9723" max="9723" width="8.85546875" style="22" customWidth="1"/>
    <col min="9724" max="9724" width="29" style="22" customWidth="1"/>
    <col min="9725" max="9973" width="9.140625" style="22"/>
    <col min="9974" max="9974" width="3.28515625" style="22" customWidth="1"/>
    <col min="9975" max="9975" width="29" style="22" customWidth="1"/>
    <col min="9976" max="9976" width="14" style="22" customWidth="1"/>
    <col min="9977" max="9977" width="11.28515625" style="22" customWidth="1"/>
    <col min="9978" max="9978" width="16.7109375" style="22" customWidth="1"/>
    <col min="9979" max="9979" width="8.85546875" style="22" customWidth="1"/>
    <col min="9980" max="9980" width="29" style="22" customWidth="1"/>
    <col min="9981" max="10229" width="9.140625" style="22"/>
    <col min="10230" max="10230" width="3.28515625" style="22" customWidth="1"/>
    <col min="10231" max="10231" width="29" style="22" customWidth="1"/>
    <col min="10232" max="10232" width="14" style="22" customWidth="1"/>
    <col min="10233" max="10233" width="11.28515625" style="22" customWidth="1"/>
    <col min="10234" max="10234" width="16.7109375" style="22" customWidth="1"/>
    <col min="10235" max="10235" width="8.85546875" style="22" customWidth="1"/>
    <col min="10236" max="10236" width="29" style="22" customWidth="1"/>
    <col min="10237" max="10485" width="9.140625" style="22"/>
    <col min="10486" max="10486" width="3.28515625" style="22" customWidth="1"/>
    <col min="10487" max="10487" width="29" style="22" customWidth="1"/>
    <col min="10488" max="10488" width="14" style="22" customWidth="1"/>
    <col min="10489" max="10489" width="11.28515625" style="22" customWidth="1"/>
    <col min="10490" max="10490" width="16.7109375" style="22" customWidth="1"/>
    <col min="10491" max="10491" width="8.85546875" style="22" customWidth="1"/>
    <col min="10492" max="10492" width="29" style="22" customWidth="1"/>
    <col min="10493" max="10741" width="9.140625" style="22"/>
    <col min="10742" max="10742" width="3.28515625" style="22" customWidth="1"/>
    <col min="10743" max="10743" width="29" style="22" customWidth="1"/>
    <col min="10744" max="10744" width="14" style="22" customWidth="1"/>
    <col min="10745" max="10745" width="11.28515625" style="22" customWidth="1"/>
    <col min="10746" max="10746" width="16.7109375" style="22" customWidth="1"/>
    <col min="10747" max="10747" width="8.85546875" style="22" customWidth="1"/>
    <col min="10748" max="10748" width="29" style="22" customWidth="1"/>
    <col min="10749" max="10997" width="9.140625" style="22"/>
    <col min="10998" max="10998" width="3.28515625" style="22" customWidth="1"/>
    <col min="10999" max="10999" width="29" style="22" customWidth="1"/>
    <col min="11000" max="11000" width="14" style="22" customWidth="1"/>
    <col min="11001" max="11001" width="11.28515625" style="22" customWidth="1"/>
    <col min="11002" max="11002" width="16.7109375" style="22" customWidth="1"/>
    <col min="11003" max="11003" width="8.85546875" style="22" customWidth="1"/>
    <col min="11004" max="11004" width="29" style="22" customWidth="1"/>
    <col min="11005" max="11253" width="9.140625" style="22"/>
    <col min="11254" max="11254" width="3.28515625" style="22" customWidth="1"/>
    <col min="11255" max="11255" width="29" style="22" customWidth="1"/>
    <col min="11256" max="11256" width="14" style="22" customWidth="1"/>
    <col min="11257" max="11257" width="11.28515625" style="22" customWidth="1"/>
    <col min="11258" max="11258" width="16.7109375" style="22" customWidth="1"/>
    <col min="11259" max="11259" width="8.85546875" style="22" customWidth="1"/>
    <col min="11260" max="11260" width="29" style="22" customWidth="1"/>
    <col min="11261" max="11509" width="9.140625" style="22"/>
    <col min="11510" max="11510" width="3.28515625" style="22" customWidth="1"/>
    <col min="11511" max="11511" width="29" style="22" customWidth="1"/>
    <col min="11512" max="11512" width="14" style="22" customWidth="1"/>
    <col min="11513" max="11513" width="11.28515625" style="22" customWidth="1"/>
    <col min="11514" max="11514" width="16.7109375" style="22" customWidth="1"/>
    <col min="11515" max="11515" width="8.85546875" style="22" customWidth="1"/>
    <col min="11516" max="11516" width="29" style="22" customWidth="1"/>
    <col min="11517" max="11765" width="9.140625" style="22"/>
    <col min="11766" max="11766" width="3.28515625" style="22" customWidth="1"/>
    <col min="11767" max="11767" width="29" style="22" customWidth="1"/>
    <col min="11768" max="11768" width="14" style="22" customWidth="1"/>
    <col min="11769" max="11769" width="11.28515625" style="22" customWidth="1"/>
    <col min="11770" max="11770" width="16.7109375" style="22" customWidth="1"/>
    <col min="11771" max="11771" width="8.85546875" style="22" customWidth="1"/>
    <col min="11772" max="11772" width="29" style="22" customWidth="1"/>
    <col min="11773" max="12021" width="9.140625" style="22"/>
    <col min="12022" max="12022" width="3.28515625" style="22" customWidth="1"/>
    <col min="12023" max="12023" width="29" style="22" customWidth="1"/>
    <col min="12024" max="12024" width="14" style="22" customWidth="1"/>
    <col min="12025" max="12025" width="11.28515625" style="22" customWidth="1"/>
    <col min="12026" max="12026" width="16.7109375" style="22" customWidth="1"/>
    <col min="12027" max="12027" width="8.85546875" style="22" customWidth="1"/>
    <col min="12028" max="12028" width="29" style="22" customWidth="1"/>
    <col min="12029" max="12277" width="9.140625" style="22"/>
    <col min="12278" max="12278" width="3.28515625" style="22" customWidth="1"/>
    <col min="12279" max="12279" width="29" style="22" customWidth="1"/>
    <col min="12280" max="12280" width="14" style="22" customWidth="1"/>
    <col min="12281" max="12281" width="11.28515625" style="22" customWidth="1"/>
    <col min="12282" max="12282" width="16.7109375" style="22" customWidth="1"/>
    <col min="12283" max="12283" width="8.85546875" style="22" customWidth="1"/>
    <col min="12284" max="12284" width="29" style="22" customWidth="1"/>
    <col min="12285" max="12533" width="9.140625" style="22"/>
    <col min="12534" max="12534" width="3.28515625" style="22" customWidth="1"/>
    <col min="12535" max="12535" width="29" style="22" customWidth="1"/>
    <col min="12536" max="12536" width="14" style="22" customWidth="1"/>
    <col min="12537" max="12537" width="11.28515625" style="22" customWidth="1"/>
    <col min="12538" max="12538" width="16.7109375" style="22" customWidth="1"/>
    <col min="12539" max="12539" width="8.85546875" style="22" customWidth="1"/>
    <col min="12540" max="12540" width="29" style="22" customWidth="1"/>
    <col min="12541" max="12789" width="9.140625" style="22"/>
    <col min="12790" max="12790" width="3.28515625" style="22" customWidth="1"/>
    <col min="12791" max="12791" width="29" style="22" customWidth="1"/>
    <col min="12792" max="12792" width="14" style="22" customWidth="1"/>
    <col min="12793" max="12793" width="11.28515625" style="22" customWidth="1"/>
    <col min="12794" max="12794" width="16.7109375" style="22" customWidth="1"/>
    <col min="12795" max="12795" width="8.85546875" style="22" customWidth="1"/>
    <col min="12796" max="12796" width="29" style="22" customWidth="1"/>
    <col min="12797" max="13045" width="9.140625" style="22"/>
    <col min="13046" max="13046" width="3.28515625" style="22" customWidth="1"/>
    <col min="13047" max="13047" width="29" style="22" customWidth="1"/>
    <col min="13048" max="13048" width="14" style="22" customWidth="1"/>
    <col min="13049" max="13049" width="11.28515625" style="22" customWidth="1"/>
    <col min="13050" max="13050" width="16.7109375" style="22" customWidth="1"/>
    <col min="13051" max="13051" width="8.85546875" style="22" customWidth="1"/>
    <col min="13052" max="13052" width="29" style="22" customWidth="1"/>
    <col min="13053" max="13301" width="9.140625" style="22"/>
    <col min="13302" max="13302" width="3.28515625" style="22" customWidth="1"/>
    <col min="13303" max="13303" width="29" style="22" customWidth="1"/>
    <col min="13304" max="13304" width="14" style="22" customWidth="1"/>
    <col min="13305" max="13305" width="11.28515625" style="22" customWidth="1"/>
    <col min="13306" max="13306" width="16.7109375" style="22" customWidth="1"/>
    <col min="13307" max="13307" width="8.85546875" style="22" customWidth="1"/>
    <col min="13308" max="13308" width="29" style="22" customWidth="1"/>
    <col min="13309" max="13557" width="9.140625" style="22"/>
    <col min="13558" max="13558" width="3.28515625" style="22" customWidth="1"/>
    <col min="13559" max="13559" width="29" style="22" customWidth="1"/>
    <col min="13560" max="13560" width="14" style="22" customWidth="1"/>
    <col min="13561" max="13561" width="11.28515625" style="22" customWidth="1"/>
    <col min="13562" max="13562" width="16.7109375" style="22" customWidth="1"/>
    <col min="13563" max="13563" width="8.85546875" style="22" customWidth="1"/>
    <col min="13564" max="13564" width="29" style="22" customWidth="1"/>
    <col min="13565" max="13813" width="9.140625" style="22"/>
    <col min="13814" max="13814" width="3.28515625" style="22" customWidth="1"/>
    <col min="13815" max="13815" width="29" style="22" customWidth="1"/>
    <col min="13816" max="13816" width="14" style="22" customWidth="1"/>
    <col min="13817" max="13817" width="11.28515625" style="22" customWidth="1"/>
    <col min="13818" max="13818" width="16.7109375" style="22" customWidth="1"/>
    <col min="13819" max="13819" width="8.85546875" style="22" customWidth="1"/>
    <col min="13820" max="13820" width="29" style="22" customWidth="1"/>
    <col min="13821" max="14069" width="9.140625" style="22"/>
    <col min="14070" max="14070" width="3.28515625" style="22" customWidth="1"/>
    <col min="14071" max="14071" width="29" style="22" customWidth="1"/>
    <col min="14072" max="14072" width="14" style="22" customWidth="1"/>
    <col min="14073" max="14073" width="11.28515625" style="22" customWidth="1"/>
    <col min="14074" max="14074" width="16.7109375" style="22" customWidth="1"/>
    <col min="14075" max="14075" width="8.85546875" style="22" customWidth="1"/>
    <col min="14076" max="14076" width="29" style="22" customWidth="1"/>
    <col min="14077" max="14325" width="9.140625" style="22"/>
    <col min="14326" max="14326" width="3.28515625" style="22" customWidth="1"/>
    <col min="14327" max="14327" width="29" style="22" customWidth="1"/>
    <col min="14328" max="14328" width="14" style="22" customWidth="1"/>
    <col min="14329" max="14329" width="11.28515625" style="22" customWidth="1"/>
    <col min="14330" max="14330" width="16.7109375" style="22" customWidth="1"/>
    <col min="14331" max="14331" width="8.85546875" style="22" customWidth="1"/>
    <col min="14332" max="14332" width="29" style="22" customWidth="1"/>
    <col min="14333" max="14581" width="9.140625" style="22"/>
    <col min="14582" max="14582" width="3.28515625" style="22" customWidth="1"/>
    <col min="14583" max="14583" width="29" style="22" customWidth="1"/>
    <col min="14584" max="14584" width="14" style="22" customWidth="1"/>
    <col min="14585" max="14585" width="11.28515625" style="22" customWidth="1"/>
    <col min="14586" max="14586" width="16.7109375" style="22" customWidth="1"/>
    <col min="14587" max="14587" width="8.85546875" style="22" customWidth="1"/>
    <col min="14588" max="14588" width="29" style="22" customWidth="1"/>
    <col min="14589" max="14837" width="9.140625" style="22"/>
    <col min="14838" max="14838" width="3.28515625" style="22" customWidth="1"/>
    <col min="14839" max="14839" width="29" style="22" customWidth="1"/>
    <col min="14840" max="14840" width="14" style="22" customWidth="1"/>
    <col min="14841" max="14841" width="11.28515625" style="22" customWidth="1"/>
    <col min="14842" max="14842" width="16.7109375" style="22" customWidth="1"/>
    <col min="14843" max="14843" width="8.85546875" style="22" customWidth="1"/>
    <col min="14844" max="14844" width="29" style="22" customWidth="1"/>
    <col min="14845" max="15093" width="9.140625" style="22"/>
    <col min="15094" max="15094" width="3.28515625" style="22" customWidth="1"/>
    <col min="15095" max="15095" width="29" style="22" customWidth="1"/>
    <col min="15096" max="15096" width="14" style="22" customWidth="1"/>
    <col min="15097" max="15097" width="11.28515625" style="22" customWidth="1"/>
    <col min="15098" max="15098" width="16.7109375" style="22" customWidth="1"/>
    <col min="15099" max="15099" width="8.85546875" style="22" customWidth="1"/>
    <col min="15100" max="15100" width="29" style="22" customWidth="1"/>
    <col min="15101" max="15349" width="9.140625" style="22"/>
    <col min="15350" max="15350" width="3.28515625" style="22" customWidth="1"/>
    <col min="15351" max="15351" width="29" style="22" customWidth="1"/>
    <col min="15352" max="15352" width="14" style="22" customWidth="1"/>
    <col min="15353" max="15353" width="11.28515625" style="22" customWidth="1"/>
    <col min="15354" max="15354" width="16.7109375" style="22" customWidth="1"/>
    <col min="15355" max="15355" width="8.85546875" style="22" customWidth="1"/>
    <col min="15356" max="15356" width="29" style="22" customWidth="1"/>
    <col min="15357" max="15605" width="9.140625" style="22"/>
    <col min="15606" max="15606" width="3.28515625" style="22" customWidth="1"/>
    <col min="15607" max="15607" width="29" style="22" customWidth="1"/>
    <col min="15608" max="15608" width="14" style="22" customWidth="1"/>
    <col min="15609" max="15609" width="11.28515625" style="22" customWidth="1"/>
    <col min="15610" max="15610" width="16.7109375" style="22" customWidth="1"/>
    <col min="15611" max="15611" width="8.85546875" style="22" customWidth="1"/>
    <col min="15612" max="15612" width="29" style="22" customWidth="1"/>
    <col min="15613" max="15861" width="9.140625" style="22"/>
    <col min="15862" max="15862" width="3.28515625" style="22" customWidth="1"/>
    <col min="15863" max="15863" width="29" style="22" customWidth="1"/>
    <col min="15864" max="15864" width="14" style="22" customWidth="1"/>
    <col min="15865" max="15865" width="11.28515625" style="22" customWidth="1"/>
    <col min="15866" max="15866" width="16.7109375" style="22" customWidth="1"/>
    <col min="15867" max="15867" width="8.85546875" style="22" customWidth="1"/>
    <col min="15868" max="15868" width="29" style="22" customWidth="1"/>
    <col min="15869" max="16117" width="9.140625" style="22"/>
    <col min="16118" max="16118" width="3.28515625" style="22" customWidth="1"/>
    <col min="16119" max="16119" width="29" style="22" customWidth="1"/>
    <col min="16120" max="16120" width="14" style="22" customWidth="1"/>
    <col min="16121" max="16121" width="11.28515625" style="22" customWidth="1"/>
    <col min="16122" max="16122" width="16.7109375" style="22" customWidth="1"/>
    <col min="16123" max="16123" width="8.85546875" style="22" customWidth="1"/>
    <col min="16124" max="16124" width="29" style="22" customWidth="1"/>
    <col min="16125" max="16384" width="9.140625" style="22"/>
  </cols>
  <sheetData>
    <row r="1" spans="1:245" ht="15.75" hidden="1" x14ac:dyDescent="0.2">
      <c r="C1" s="209"/>
      <c r="D1" s="209"/>
      <c r="E1" s="209"/>
      <c r="F1" s="209"/>
      <c r="G1" s="209"/>
      <c r="H1" s="209"/>
      <c r="I1" s="209"/>
      <c r="J1" s="209"/>
      <c r="K1" s="209"/>
    </row>
    <row r="2" spans="1:245" ht="30.75" hidden="1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  <c r="J2" s="411"/>
      <c r="K2" s="296"/>
    </row>
    <row r="3" spans="1:245" ht="15.75" hidden="1" x14ac:dyDescent="0.2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09"/>
    </row>
    <row r="4" spans="1:245" ht="21" hidden="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09"/>
    </row>
    <row r="5" spans="1:245" ht="15.75" hidden="1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09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</row>
    <row r="6" spans="1:245" ht="18" hidden="1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09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</row>
    <row r="7" spans="1:245" ht="15.75" hidden="1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09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</row>
    <row r="8" spans="1:245" ht="15.75" hidden="1" x14ac:dyDescent="0.2">
      <c r="A8" s="209"/>
      <c r="B8" s="209"/>
      <c r="C8" s="209"/>
      <c r="D8" s="209"/>
      <c r="E8" s="209"/>
      <c r="F8" s="209"/>
      <c r="G8" s="209"/>
      <c r="I8" s="209"/>
      <c r="J8" s="209"/>
      <c r="K8" s="209"/>
    </row>
    <row r="9" spans="1:245" ht="15.75" hidden="1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66"/>
    </row>
    <row r="10" spans="1:245" ht="15.75" hidden="1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66"/>
    </row>
    <row r="11" spans="1:245" ht="15" hidden="1" customHeight="1" x14ac:dyDescent="0.2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09"/>
    </row>
    <row r="12" spans="1:245" ht="16.5" hidden="1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94"/>
    </row>
    <row r="13" spans="1:245" ht="21" hidden="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5" ht="33.75" hidden="1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5" ht="44.25" hidden="1" customHeight="1" x14ac:dyDescent="0.2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09"/>
    </row>
    <row r="16" spans="1:245" ht="66" hidden="1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71"/>
    </row>
    <row r="17" spans="1:12" ht="16.5" hidden="1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  <c r="J17" s="395"/>
      <c r="K17" s="294"/>
    </row>
    <row r="18" spans="1:12" ht="87.75" hidden="1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  <c r="J18" s="399"/>
      <c r="K18" s="271"/>
    </row>
    <row r="19" spans="1:12" ht="16.5" hidden="1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  <c r="J19" s="395"/>
      <c r="K19" s="294"/>
    </row>
    <row r="20" spans="1:12" ht="60" hidden="1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  <c r="J20" s="399"/>
      <c r="K20" s="271"/>
    </row>
    <row r="21" spans="1:12" ht="16.5" hidden="1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  <c r="J21" s="395"/>
      <c r="K21" s="294"/>
    </row>
    <row r="22" spans="1:12" ht="66" hidden="1" customHeight="1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  <c r="J22" s="399"/>
      <c r="K22" s="271"/>
    </row>
    <row r="23" spans="1:12" ht="4.5" hidden="1" customHeight="1" x14ac:dyDescent="0.2">
      <c r="A23" s="372"/>
      <c r="B23" s="372"/>
      <c r="C23" s="372"/>
      <c r="D23" s="372"/>
      <c r="E23" s="372"/>
      <c r="F23" s="372"/>
      <c r="G23" s="210"/>
      <c r="H23" s="399"/>
      <c r="I23" s="399"/>
      <c r="J23" s="399"/>
      <c r="K23" s="399"/>
    </row>
    <row r="24" spans="1:12" s="215" customFormat="1" ht="45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109" t="s">
        <v>130</v>
      </c>
      <c r="J24" s="109" t="s">
        <v>258</v>
      </c>
      <c r="K24" s="297" t="s">
        <v>360</v>
      </c>
    </row>
    <row r="25" spans="1:12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318">
        <v>3</v>
      </c>
      <c r="F25" s="218">
        <f>E25*2</f>
        <v>6</v>
      </c>
      <c r="G25" s="219">
        <f ca="1">'1-DD'!C131</f>
        <v>7515.6509975338686</v>
      </c>
      <c r="H25" s="293">
        <f ca="1">G25*2</f>
        <v>15031.301995067737</v>
      </c>
      <c r="I25" s="293">
        <f t="shared" ref="I25:I30" ca="1" si="0">H25*E25/30*28</f>
        <v>42087.645586189661</v>
      </c>
      <c r="J25" s="293">
        <f ca="1">I25*12</f>
        <v>505051.7470342759</v>
      </c>
      <c r="K25" s="298">
        <f>'1-DD'!D33*E25</f>
        <v>0</v>
      </c>
      <c r="L25" s="314" t="e">
        <f>K25-#REF!</f>
        <v>#REF!</v>
      </c>
    </row>
    <row r="26" spans="1:12" s="220" customFormat="1" ht="25.5" x14ac:dyDescent="0.2">
      <c r="A26" s="397"/>
      <c r="B26" s="216">
        <v>2</v>
      </c>
      <c r="C26" s="140" t="s">
        <v>305</v>
      </c>
      <c r="D26" s="140" t="s">
        <v>85</v>
      </c>
      <c r="E26" s="318">
        <v>1</v>
      </c>
      <c r="F26" s="218">
        <f t="shared" ref="F26:F31" si="1">E26*2</f>
        <v>2</v>
      </c>
      <c r="G26" s="219">
        <f ca="1">'2-DDM '!C131</f>
        <v>8517.7158971606732</v>
      </c>
      <c r="H26" s="293">
        <f t="shared" ref="H26:H31" ca="1" si="2">G26*2</f>
        <v>17035.431794321346</v>
      </c>
      <c r="I26" s="293">
        <f t="shared" ca="1" si="0"/>
        <v>15899.736341366588</v>
      </c>
      <c r="J26" s="293">
        <f ca="1">I26*12</f>
        <v>190796.83609639906</v>
      </c>
      <c r="K26" s="298">
        <f>'3-DDMon'!D33*E26</f>
        <v>1134.0006899</v>
      </c>
      <c r="L26" s="314" t="e">
        <f>K26-#REF!</f>
        <v>#REF!</v>
      </c>
    </row>
    <row r="27" spans="1:12" s="317" customFormat="1" ht="25.5" x14ac:dyDescent="0.2">
      <c r="A27" s="397"/>
      <c r="B27" s="216">
        <v>3</v>
      </c>
      <c r="C27" s="140" t="s">
        <v>306</v>
      </c>
      <c r="D27" s="140" t="s">
        <v>85</v>
      </c>
      <c r="E27" s="318">
        <v>1</v>
      </c>
      <c r="F27" s="218">
        <f t="shared" si="1"/>
        <v>2</v>
      </c>
      <c r="G27" s="219">
        <f ca="1">'3-DDMon'!C131</f>
        <v>7515.6509975338686</v>
      </c>
      <c r="H27" s="293">
        <f t="shared" ca="1" si="2"/>
        <v>15031.301995067737</v>
      </c>
      <c r="I27" s="293">
        <f t="shared" ca="1" si="0"/>
        <v>14029.215195396555</v>
      </c>
      <c r="J27" s="293">
        <f ca="1">I27*12</f>
        <v>168350.58234475867</v>
      </c>
      <c r="K27" s="298">
        <f>'3-DDMon'!D33*E27</f>
        <v>1134.0006899</v>
      </c>
      <c r="L27" s="316" t="e">
        <f>K27-#REF!</f>
        <v>#REF!</v>
      </c>
    </row>
    <row r="28" spans="1:12" s="220" customFormat="1" ht="25.5" x14ac:dyDescent="0.2">
      <c r="A28" s="397"/>
      <c r="B28" s="216">
        <v>4</v>
      </c>
      <c r="C28" s="140" t="s">
        <v>307</v>
      </c>
      <c r="D28" s="140" t="s">
        <v>84</v>
      </c>
      <c r="E28" s="318">
        <v>4</v>
      </c>
      <c r="F28" s="218">
        <f t="shared" si="1"/>
        <v>8</v>
      </c>
      <c r="G28" s="219">
        <f ca="1">'4-AN'!C131</f>
        <v>8254.7283398611526</v>
      </c>
      <c r="H28" s="293">
        <f t="shared" ca="1" si="2"/>
        <v>16509.456679722305</v>
      </c>
      <c r="I28" s="293">
        <f t="shared" ca="1" si="0"/>
        <v>61635.304937629931</v>
      </c>
      <c r="J28" s="293">
        <f t="shared" ref="J28:J29" ca="1" si="3">I28*12</f>
        <v>739623.65925155918</v>
      </c>
      <c r="K28" s="298">
        <f>'4-AN'!D33*E28</f>
        <v>5030.8394242836366</v>
      </c>
      <c r="L28" s="314" t="e">
        <f>K28-#REF!</f>
        <v>#REF!</v>
      </c>
    </row>
    <row r="29" spans="1:12" s="220" customFormat="1" ht="25.5" x14ac:dyDescent="0.2">
      <c r="A29" s="397"/>
      <c r="B29" s="216">
        <v>5</v>
      </c>
      <c r="C29" s="140" t="s">
        <v>308</v>
      </c>
      <c r="D29" s="140" t="s">
        <v>85</v>
      </c>
      <c r="E29" s="318">
        <v>1</v>
      </c>
      <c r="F29" s="218">
        <f t="shared" si="1"/>
        <v>2</v>
      </c>
      <c r="G29" s="219">
        <f ca="1">'5-AD'!C131</f>
        <v>7527.3062611718906</v>
      </c>
      <c r="H29" s="293">
        <f t="shared" ca="1" si="2"/>
        <v>15054.612522343781</v>
      </c>
      <c r="I29" s="293">
        <f t="shared" ca="1" si="0"/>
        <v>14050.971687520861</v>
      </c>
      <c r="J29" s="293">
        <f t="shared" ca="1" si="3"/>
        <v>168611.66025025034</v>
      </c>
      <c r="K29" s="298">
        <f>'5-AD'!D33*E29</f>
        <v>1134.0006899</v>
      </c>
      <c r="L29" s="314" t="e">
        <f>K29-#REF!</f>
        <v>#REF!</v>
      </c>
    </row>
    <row r="30" spans="1:12" s="220" customFormat="1" ht="25.5" customHeight="1" x14ac:dyDescent="0.2">
      <c r="A30" s="397"/>
      <c r="B30" s="216">
        <v>6</v>
      </c>
      <c r="C30" s="140" t="s">
        <v>309</v>
      </c>
      <c r="D30" s="140" t="s">
        <v>84</v>
      </c>
      <c r="E30" s="318">
        <v>1</v>
      </c>
      <c r="F30" s="218">
        <f t="shared" si="1"/>
        <v>2</v>
      </c>
      <c r="G30" s="219">
        <f ca="1">'6-ANM'!C131</f>
        <v>9343.3638101741108</v>
      </c>
      <c r="H30" s="293">
        <f ca="1">G30*2</f>
        <v>18686.727620348222</v>
      </c>
      <c r="I30" s="293">
        <f t="shared" ca="1" si="0"/>
        <v>17440.945778991674</v>
      </c>
      <c r="J30" s="293">
        <f ca="1">I30*12</f>
        <v>209291.34934790008</v>
      </c>
      <c r="K30" s="298">
        <f>'6-ANM'!D33*E30</f>
        <v>1383.4808416780002</v>
      </c>
      <c r="L30" s="314" t="e">
        <f>K30-#REF!</f>
        <v>#REF!</v>
      </c>
    </row>
    <row r="31" spans="1:12" s="220" customFormat="1" ht="32.25" customHeight="1" x14ac:dyDescent="0.2">
      <c r="A31" s="397"/>
      <c r="B31" s="216">
        <v>7</v>
      </c>
      <c r="C31" s="140" t="s">
        <v>310</v>
      </c>
      <c r="D31" s="140" t="s">
        <v>85</v>
      </c>
      <c r="E31" s="318">
        <v>1</v>
      </c>
      <c r="F31" s="218">
        <f t="shared" si="1"/>
        <v>2</v>
      </c>
      <c r="G31" s="219">
        <f ca="1">'7-ADM '!C131</f>
        <v>8542.0102597222703</v>
      </c>
      <c r="H31" s="293">
        <f t="shared" ca="1" si="2"/>
        <v>17084.020519444541</v>
      </c>
      <c r="I31" s="293">
        <f ca="1">H31/30*28</f>
        <v>15945.08581814824</v>
      </c>
      <c r="J31" s="293">
        <f ca="1">I31*12</f>
        <v>191341.02981777888</v>
      </c>
      <c r="K31" s="298">
        <f>'7-ADM '!D33*E31</f>
        <v>1247.4007588900001</v>
      </c>
      <c r="L31" s="314" t="e">
        <f>K31-#REF!</f>
        <v>#REF!</v>
      </c>
    </row>
    <row r="32" spans="1:12" s="215" customFormat="1" ht="15.75" customHeight="1" x14ac:dyDescent="0.2">
      <c r="A32" s="383" t="s">
        <v>259</v>
      </c>
      <c r="B32" s="384"/>
      <c r="C32" s="384"/>
      <c r="D32" s="384"/>
      <c r="E32" s="221">
        <f>SUM(E25:E31)</f>
        <v>12</v>
      </c>
      <c r="F32" s="222">
        <f>SUM(F25:F31)</f>
        <v>24</v>
      </c>
      <c r="G32" s="223"/>
      <c r="H32" s="224"/>
      <c r="I32" s="224">
        <f ca="1">SUM(I25:I31)</f>
        <v>181088.90534524352</v>
      </c>
      <c r="J32" s="224">
        <f ca="1">SUM(J25:J31)</f>
        <v>2173066.8641429222</v>
      </c>
      <c r="K32" s="299">
        <f>SUM(K25:K31)</f>
        <v>11063.723094551637</v>
      </c>
    </row>
    <row r="33" spans="1:254" s="215" customFormat="1" ht="15" customHeight="1" x14ac:dyDescent="0.2">
      <c r="A33" s="307"/>
      <c r="B33" s="308"/>
      <c r="C33" s="308"/>
      <c r="D33" s="308"/>
      <c r="E33" s="308"/>
      <c r="F33" s="308"/>
      <c r="G33" s="308"/>
      <c r="H33" s="308"/>
      <c r="I33" s="308"/>
      <c r="J33" s="309"/>
      <c r="K33" s="310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</row>
    <row r="34" spans="1:254" s="215" customFormat="1" ht="18" customHeight="1" x14ac:dyDescent="0.2">
      <c r="A34" s="387" t="s">
        <v>260</v>
      </c>
      <c r="B34" s="387"/>
      <c r="C34" s="387"/>
      <c r="D34" s="387"/>
      <c r="E34" s="387"/>
      <c r="F34" s="387"/>
      <c r="G34" s="387"/>
      <c r="H34" s="387"/>
      <c r="I34" s="387"/>
      <c r="J34" s="226">
        <f ca="1">I32</f>
        <v>181088.90534524352</v>
      </c>
      <c r="K34" s="301">
        <v>162638.72</v>
      </c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</row>
    <row r="35" spans="1:254" s="215" customFormat="1" ht="15" customHeight="1" x14ac:dyDescent="0.2">
      <c r="A35" s="388" t="s">
        <v>366</v>
      </c>
      <c r="B35" s="389"/>
      <c r="C35" s="389"/>
      <c r="D35" s="389"/>
      <c r="E35" s="389"/>
      <c r="F35" s="389"/>
      <c r="G35" s="389"/>
      <c r="H35" s="389"/>
      <c r="I35" s="389"/>
      <c r="J35" s="389"/>
      <c r="K35" s="302"/>
    </row>
    <row r="36" spans="1:254" s="215" customFormat="1" ht="5.25" customHeight="1" x14ac:dyDescent="0.2">
      <c r="A36" s="385"/>
      <c r="B36" s="386"/>
      <c r="C36" s="386"/>
      <c r="D36" s="386"/>
      <c r="E36" s="386"/>
      <c r="F36" s="386"/>
      <c r="G36" s="386"/>
      <c r="H36" s="386"/>
      <c r="I36" s="386"/>
      <c r="J36" s="390"/>
      <c r="K36" s="300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</row>
    <row r="37" spans="1:254" s="215" customFormat="1" ht="19.5" hidden="1" customHeight="1" x14ac:dyDescent="0.2">
      <c r="A37" s="387" t="s">
        <v>261</v>
      </c>
      <c r="B37" s="387"/>
      <c r="C37" s="387"/>
      <c r="D37" s="387"/>
      <c r="E37" s="387"/>
      <c r="F37" s="387"/>
      <c r="G37" s="387"/>
      <c r="H37" s="387"/>
      <c r="I37" s="387"/>
      <c r="J37" s="227">
        <v>12</v>
      </c>
      <c r="K37" s="303"/>
    </row>
    <row r="38" spans="1:254" s="215" customFormat="1" ht="5.25" hidden="1" customHeight="1" x14ac:dyDescent="0.2">
      <c r="A38" s="385"/>
      <c r="B38" s="386"/>
      <c r="C38" s="386"/>
      <c r="D38" s="386"/>
      <c r="E38" s="386"/>
      <c r="F38" s="386"/>
      <c r="G38" s="386"/>
      <c r="H38" s="386"/>
      <c r="I38" s="386"/>
      <c r="J38" s="390"/>
      <c r="K38" s="304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</row>
    <row r="39" spans="1:254" s="215" customFormat="1" ht="15" hidden="1" customHeight="1" x14ac:dyDescent="0.2">
      <c r="A39" s="391" t="s">
        <v>262</v>
      </c>
      <c r="B39" s="391"/>
      <c r="C39" s="391"/>
      <c r="D39" s="391"/>
      <c r="E39" s="391"/>
      <c r="F39" s="391"/>
      <c r="G39" s="391"/>
      <c r="H39" s="391"/>
      <c r="I39" s="391"/>
      <c r="J39" s="228">
        <f ca="1">J32</f>
        <v>2173066.8641429222</v>
      </c>
      <c r="K39" s="305"/>
    </row>
    <row r="40" spans="1:254" s="215" customFormat="1" ht="15" hidden="1" customHeight="1" x14ac:dyDescent="0.2">
      <c r="A40" s="388" t="s">
        <v>346</v>
      </c>
      <c r="B40" s="389"/>
      <c r="C40" s="389"/>
      <c r="D40" s="389"/>
      <c r="E40" s="389"/>
      <c r="F40" s="389"/>
      <c r="G40" s="389"/>
      <c r="H40" s="389"/>
      <c r="I40" s="389"/>
      <c r="J40" s="392"/>
      <c r="K40" s="306"/>
    </row>
    <row r="41" spans="1:254" s="215" customFormat="1" ht="9" hidden="1" customHeight="1" x14ac:dyDescent="0.2">
      <c r="A41" s="290"/>
      <c r="B41" s="291"/>
      <c r="C41" s="291"/>
      <c r="D41" s="291"/>
      <c r="E41" s="291"/>
      <c r="F41" s="291"/>
      <c r="G41" s="291"/>
      <c r="H41" s="291"/>
      <c r="I41" s="291"/>
      <c r="J41" s="292"/>
      <c r="K41" s="315"/>
    </row>
    <row r="42" spans="1:254" ht="18" hidden="1" customHeight="1" x14ac:dyDescent="0.2">
      <c r="A42" s="393" t="s">
        <v>193</v>
      </c>
      <c r="B42" s="394"/>
      <c r="C42" s="394"/>
      <c r="D42" s="394"/>
      <c r="E42" s="394"/>
      <c r="F42" s="394"/>
      <c r="G42" s="394"/>
      <c r="H42" s="394"/>
      <c r="I42" s="394"/>
      <c r="J42" s="395"/>
      <c r="K42" s="294">
        <f ca="1">I32*11%</f>
        <v>19919.779587976787</v>
      </c>
    </row>
    <row r="43" spans="1:254" ht="17.100000000000001" hidden="1" customHeight="1" x14ac:dyDescent="0.2">
      <c r="A43" s="375" t="s">
        <v>263</v>
      </c>
      <c r="B43" s="375"/>
      <c r="C43" s="375"/>
      <c r="D43" s="375"/>
      <c r="E43" s="375"/>
      <c r="F43" s="375"/>
      <c r="G43" s="375"/>
      <c r="H43" s="375"/>
      <c r="K43" s="22">
        <f ca="1">I32*5%</f>
        <v>9054.4452672621755</v>
      </c>
    </row>
    <row r="44" spans="1:254" ht="17.100000000000001" hidden="1" customHeight="1" x14ac:dyDescent="0.2">
      <c r="A44" s="375" t="s">
        <v>264</v>
      </c>
      <c r="B44" s="375"/>
      <c r="C44" s="375"/>
      <c r="D44" s="375"/>
      <c r="E44" s="375"/>
      <c r="F44" s="375"/>
      <c r="G44" s="375"/>
      <c r="H44" s="375"/>
      <c r="K44" s="22">
        <f ca="1">I32*3.65%</f>
        <v>6609.7450451013883</v>
      </c>
    </row>
    <row r="45" spans="1:254" ht="17.100000000000001" hidden="1" customHeight="1" x14ac:dyDescent="0.25">
      <c r="A45" s="375" t="s">
        <v>265</v>
      </c>
      <c r="B45" s="375"/>
      <c r="C45" s="375"/>
      <c r="D45" s="375"/>
      <c r="E45" s="229"/>
      <c r="F45" s="229"/>
      <c r="G45" s="229"/>
      <c r="H45" s="376" t="s">
        <v>266</v>
      </c>
      <c r="I45" s="376"/>
      <c r="J45" s="376"/>
      <c r="K45" s="272">
        <f ca="1">I32*5.8%</f>
        <v>10503.156510024124</v>
      </c>
    </row>
    <row r="46" spans="1:254" ht="17.100000000000001" hidden="1" customHeight="1" x14ac:dyDescent="0.25">
      <c r="A46" s="375" t="s">
        <v>194</v>
      </c>
      <c r="B46" s="375"/>
      <c r="C46" s="375"/>
      <c r="D46" s="375"/>
      <c r="E46" s="229"/>
      <c r="F46" s="229"/>
      <c r="G46" s="229"/>
      <c r="H46" s="376" t="s">
        <v>267</v>
      </c>
      <c r="I46" s="376"/>
      <c r="J46" s="376"/>
      <c r="K46" s="319">
        <f>K32</f>
        <v>11063.723094551637</v>
      </c>
    </row>
    <row r="47" spans="1:254" ht="17.100000000000001" hidden="1" customHeight="1" x14ac:dyDescent="0.25">
      <c r="A47" s="375" t="s">
        <v>268</v>
      </c>
      <c r="B47" s="375"/>
      <c r="C47" s="375"/>
      <c r="D47" s="375"/>
      <c r="E47" s="229"/>
      <c r="F47" s="229"/>
      <c r="G47" s="229"/>
      <c r="H47" s="376" t="s">
        <v>269</v>
      </c>
      <c r="I47" s="376"/>
      <c r="J47" s="376"/>
      <c r="K47" s="319">
        <f ca="1">I32-K42-K43-K44-K45-K46</f>
        <v>123938.05584032742</v>
      </c>
    </row>
    <row r="48" spans="1:254" ht="17.100000000000001" hidden="1" customHeight="1" thickBot="1" x14ac:dyDescent="0.3">
      <c r="A48" s="375" t="s">
        <v>195</v>
      </c>
      <c r="B48" s="375"/>
      <c r="C48" s="375"/>
      <c r="D48" s="375"/>
      <c r="E48" s="229"/>
      <c r="F48" s="229"/>
      <c r="G48" s="229"/>
      <c r="H48" s="376" t="s">
        <v>270</v>
      </c>
      <c r="I48" s="376"/>
      <c r="J48" s="376"/>
      <c r="K48" s="272"/>
    </row>
    <row r="49" spans="1:11" ht="33.75" hidden="1" customHeight="1" thickBot="1" x14ac:dyDescent="0.25">
      <c r="A49" s="405" t="s">
        <v>271</v>
      </c>
      <c r="B49" s="406"/>
      <c r="C49" s="406"/>
      <c r="D49" s="406"/>
      <c r="E49" s="406"/>
      <c r="F49" s="406"/>
      <c r="G49" s="406"/>
      <c r="H49" s="406"/>
      <c r="I49" s="406"/>
      <c r="J49" s="407"/>
      <c r="K49" s="294"/>
    </row>
    <row r="50" spans="1:11" ht="82.5" hidden="1" customHeight="1" x14ac:dyDescent="0.2">
      <c r="A50" s="408" t="s">
        <v>273</v>
      </c>
      <c r="B50" s="409"/>
      <c r="C50" s="409"/>
      <c r="D50" s="409"/>
      <c r="E50" s="409"/>
      <c r="F50" s="409"/>
      <c r="G50" s="409"/>
      <c r="H50" s="409"/>
      <c r="I50" s="409"/>
      <c r="J50" s="410"/>
      <c r="K50" s="295"/>
    </row>
    <row r="51" spans="1:11" ht="26.25" hidden="1" customHeight="1" x14ac:dyDescent="0.2">
      <c r="A51" s="368" t="s">
        <v>316</v>
      </c>
      <c r="B51" s="369"/>
      <c r="C51" s="369"/>
      <c r="D51" s="369"/>
      <c r="E51" s="369"/>
      <c r="F51" s="369"/>
      <c r="G51" s="369"/>
      <c r="H51" s="369"/>
      <c r="I51" s="369"/>
      <c r="J51" s="370"/>
      <c r="K51" s="208"/>
    </row>
    <row r="52" spans="1:11" ht="25.5" hidden="1" customHeight="1" x14ac:dyDescent="0.2">
      <c r="A52" s="368" t="s">
        <v>359</v>
      </c>
      <c r="B52" s="369"/>
      <c r="C52" s="369"/>
      <c r="D52" s="369"/>
      <c r="E52" s="369"/>
      <c r="F52" s="369"/>
      <c r="G52" s="369"/>
      <c r="H52" s="369"/>
      <c r="I52" s="369"/>
      <c r="J52" s="370"/>
      <c r="K52" s="208"/>
    </row>
    <row r="53" spans="1:11" ht="39" hidden="1" customHeight="1" x14ac:dyDescent="0.2">
      <c r="A53" s="368" t="s">
        <v>318</v>
      </c>
      <c r="B53" s="369"/>
      <c r="C53" s="369"/>
      <c r="D53" s="369"/>
      <c r="E53" s="369"/>
      <c r="F53" s="369"/>
      <c r="G53" s="369"/>
      <c r="H53" s="369"/>
      <c r="I53" s="369"/>
      <c r="J53" s="370"/>
      <c r="K53" s="208"/>
    </row>
    <row r="54" spans="1:11" ht="27.75" hidden="1" customHeight="1" x14ac:dyDescent="0.2">
      <c r="A54" s="368" t="s">
        <v>319</v>
      </c>
      <c r="B54" s="369"/>
      <c r="C54" s="369"/>
      <c r="D54" s="369"/>
      <c r="E54" s="369"/>
      <c r="F54" s="369"/>
      <c r="G54" s="369"/>
      <c r="H54" s="369"/>
      <c r="I54" s="369"/>
      <c r="J54" s="370"/>
      <c r="K54" s="208"/>
    </row>
    <row r="55" spans="1:11" ht="15.75" hidden="1" x14ac:dyDescent="0.2">
      <c r="A55" s="371"/>
      <c r="B55" s="372"/>
      <c r="C55" s="372"/>
      <c r="D55" s="372"/>
      <c r="E55" s="372"/>
      <c r="F55" s="372"/>
      <c r="G55" s="210"/>
      <c r="I55" s="209"/>
      <c r="J55" s="231"/>
      <c r="K55" s="209"/>
    </row>
    <row r="56" spans="1:11" ht="15.75" hidden="1" x14ac:dyDescent="0.2">
      <c r="A56" s="373"/>
      <c r="B56" s="374"/>
      <c r="C56" s="374"/>
      <c r="D56" s="374"/>
      <c r="E56" s="374"/>
      <c r="F56" s="374"/>
      <c r="G56" s="374"/>
      <c r="H56" s="374"/>
      <c r="I56" s="209"/>
      <c r="J56" s="231"/>
      <c r="K56" s="209"/>
    </row>
    <row r="57" spans="1:11" ht="15.75" hidden="1" x14ac:dyDescent="0.2">
      <c r="A57" s="373"/>
      <c r="B57" s="374"/>
      <c r="C57" s="374"/>
      <c r="D57" s="374"/>
      <c r="E57" s="374"/>
      <c r="F57" s="374"/>
      <c r="G57" s="374"/>
      <c r="H57" s="374"/>
      <c r="I57" s="209"/>
      <c r="J57" s="231"/>
      <c r="K57" s="209"/>
    </row>
    <row r="58" spans="1:11" ht="15.75" hidden="1" x14ac:dyDescent="0.2">
      <c r="A58" s="373"/>
      <c r="B58" s="374"/>
      <c r="C58" s="374"/>
      <c r="D58" s="374"/>
      <c r="E58" s="374"/>
      <c r="F58" s="374"/>
      <c r="G58" s="374"/>
      <c r="H58" s="374"/>
      <c r="I58" s="209"/>
      <c r="J58" s="231"/>
      <c r="K58" s="209"/>
    </row>
    <row r="59" spans="1:11" ht="15.75" hidden="1" x14ac:dyDescent="0.2">
      <c r="A59" s="373"/>
      <c r="B59" s="374"/>
      <c r="C59" s="374"/>
      <c r="D59" s="374"/>
      <c r="E59" s="374"/>
      <c r="F59" s="374"/>
      <c r="G59" s="374"/>
      <c r="H59" s="374"/>
      <c r="I59" s="209"/>
      <c r="J59" s="231"/>
      <c r="K59" s="209"/>
    </row>
    <row r="60" spans="1:11" ht="15.75" hidden="1" x14ac:dyDescent="0.2">
      <c r="A60" s="232"/>
      <c r="B60" s="233"/>
      <c r="C60" s="233"/>
      <c r="D60" s="233"/>
      <c r="E60" s="233"/>
      <c r="F60" s="233"/>
      <c r="G60" s="233"/>
      <c r="H60" s="234"/>
      <c r="I60" s="233"/>
      <c r="J60" s="235"/>
      <c r="K60" s="209"/>
    </row>
    <row r="61" spans="1:11" ht="15.75" hidden="1" x14ac:dyDescent="0.2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</row>
  </sheetData>
  <mergeCells count="50">
    <mergeCell ref="A55:F55"/>
    <mergeCell ref="A56:H59"/>
    <mergeCell ref="A49:J49"/>
    <mergeCell ref="A50:J50"/>
    <mergeCell ref="A51:J51"/>
    <mergeCell ref="A52:J52"/>
    <mergeCell ref="A53:J53"/>
    <mergeCell ref="A54:J54"/>
    <mergeCell ref="A46:D46"/>
    <mergeCell ref="H46:J46"/>
    <mergeCell ref="A47:D47"/>
    <mergeCell ref="H47:J47"/>
    <mergeCell ref="A48:D48"/>
    <mergeCell ref="H48:J48"/>
    <mergeCell ref="A40:J40"/>
    <mergeCell ref="A42:J42"/>
    <mergeCell ref="A43:H43"/>
    <mergeCell ref="A44:H44"/>
    <mergeCell ref="A45:D45"/>
    <mergeCell ref="H45:J45"/>
    <mergeCell ref="A39:I39"/>
    <mergeCell ref="A21:J21"/>
    <mergeCell ref="A22:J22"/>
    <mergeCell ref="A23:F23"/>
    <mergeCell ref="H23:K23"/>
    <mergeCell ref="A25:A31"/>
    <mergeCell ref="A32:D32"/>
    <mergeCell ref="A34:I34"/>
    <mergeCell ref="A35:J35"/>
    <mergeCell ref="A36:J36"/>
    <mergeCell ref="A37:I37"/>
    <mergeCell ref="A38:J38"/>
    <mergeCell ref="A20:J20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J18"/>
    <mergeCell ref="A19:J19"/>
    <mergeCell ref="A10:J10"/>
    <mergeCell ref="C2:J2"/>
    <mergeCell ref="A5:H5"/>
    <mergeCell ref="A6:H6"/>
    <mergeCell ref="A7:H7"/>
    <mergeCell ref="A9:J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horizontalDpi="360" verticalDpi="360" r:id="rId1"/>
  <rowBreaks count="1" manualBreakCount="1">
    <brk id="48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T63"/>
  <sheetViews>
    <sheetView showGridLines="0" view="pageBreakPreview" topLeftCell="A19" zoomScale="112" zoomScaleNormal="100" zoomScaleSheetLayoutView="112" workbookViewId="0">
      <selection activeCell="A23" sqref="A23:K32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2.42578125" style="22" customWidth="1"/>
    <col min="6" max="6" width="10.7109375" style="22" customWidth="1"/>
    <col min="7" max="7" width="13.85546875" style="22" customWidth="1"/>
    <col min="8" max="8" width="15.28515625" style="22" customWidth="1"/>
    <col min="9" max="9" width="16.42578125" style="22" customWidth="1"/>
    <col min="10" max="11" width="16.42578125" style="22" hidden="1" customWidth="1"/>
    <col min="12" max="12" width="11" style="22" hidden="1" customWidth="1"/>
    <col min="13" max="13" width="16.5703125" style="22" customWidth="1"/>
    <col min="14" max="245" width="9.140625" style="22"/>
    <col min="246" max="246" width="3.28515625" style="22" customWidth="1"/>
    <col min="247" max="247" width="29" style="22" customWidth="1"/>
    <col min="248" max="248" width="14" style="22" customWidth="1"/>
    <col min="249" max="249" width="11.28515625" style="22" customWidth="1"/>
    <col min="250" max="250" width="16.7109375" style="22" customWidth="1"/>
    <col min="251" max="251" width="8.85546875" style="22" customWidth="1"/>
    <col min="252" max="252" width="29" style="22" customWidth="1"/>
    <col min="253" max="501" width="9.140625" style="22"/>
    <col min="502" max="502" width="3.28515625" style="22" customWidth="1"/>
    <col min="503" max="503" width="29" style="22" customWidth="1"/>
    <col min="504" max="504" width="14" style="22" customWidth="1"/>
    <col min="505" max="505" width="11.28515625" style="22" customWidth="1"/>
    <col min="506" max="506" width="16.7109375" style="22" customWidth="1"/>
    <col min="507" max="507" width="8.85546875" style="22" customWidth="1"/>
    <col min="508" max="508" width="29" style="22" customWidth="1"/>
    <col min="509" max="757" width="9.140625" style="22"/>
    <col min="758" max="758" width="3.28515625" style="22" customWidth="1"/>
    <col min="759" max="759" width="29" style="22" customWidth="1"/>
    <col min="760" max="760" width="14" style="22" customWidth="1"/>
    <col min="761" max="761" width="11.28515625" style="22" customWidth="1"/>
    <col min="762" max="762" width="16.7109375" style="22" customWidth="1"/>
    <col min="763" max="763" width="8.85546875" style="22" customWidth="1"/>
    <col min="764" max="764" width="29" style="22" customWidth="1"/>
    <col min="765" max="1013" width="9.140625" style="22"/>
    <col min="1014" max="1014" width="3.28515625" style="22" customWidth="1"/>
    <col min="1015" max="1015" width="29" style="22" customWidth="1"/>
    <col min="1016" max="1016" width="14" style="22" customWidth="1"/>
    <col min="1017" max="1017" width="11.28515625" style="22" customWidth="1"/>
    <col min="1018" max="1018" width="16.7109375" style="22" customWidth="1"/>
    <col min="1019" max="1019" width="8.85546875" style="22" customWidth="1"/>
    <col min="1020" max="1020" width="29" style="22" customWidth="1"/>
    <col min="1021" max="1269" width="9.140625" style="22"/>
    <col min="1270" max="1270" width="3.28515625" style="22" customWidth="1"/>
    <col min="1271" max="1271" width="29" style="22" customWidth="1"/>
    <col min="1272" max="1272" width="14" style="22" customWidth="1"/>
    <col min="1273" max="1273" width="11.28515625" style="22" customWidth="1"/>
    <col min="1274" max="1274" width="16.7109375" style="22" customWidth="1"/>
    <col min="1275" max="1275" width="8.85546875" style="22" customWidth="1"/>
    <col min="1276" max="1276" width="29" style="22" customWidth="1"/>
    <col min="1277" max="1525" width="9.140625" style="22"/>
    <col min="1526" max="1526" width="3.28515625" style="22" customWidth="1"/>
    <col min="1527" max="1527" width="29" style="22" customWidth="1"/>
    <col min="1528" max="1528" width="14" style="22" customWidth="1"/>
    <col min="1529" max="1529" width="11.28515625" style="22" customWidth="1"/>
    <col min="1530" max="1530" width="16.7109375" style="22" customWidth="1"/>
    <col min="1531" max="1531" width="8.85546875" style="22" customWidth="1"/>
    <col min="1532" max="1532" width="29" style="22" customWidth="1"/>
    <col min="1533" max="1781" width="9.140625" style="22"/>
    <col min="1782" max="1782" width="3.28515625" style="22" customWidth="1"/>
    <col min="1783" max="1783" width="29" style="22" customWidth="1"/>
    <col min="1784" max="1784" width="14" style="22" customWidth="1"/>
    <col min="1785" max="1785" width="11.28515625" style="22" customWidth="1"/>
    <col min="1786" max="1786" width="16.7109375" style="22" customWidth="1"/>
    <col min="1787" max="1787" width="8.85546875" style="22" customWidth="1"/>
    <col min="1788" max="1788" width="29" style="22" customWidth="1"/>
    <col min="1789" max="2037" width="9.140625" style="22"/>
    <col min="2038" max="2038" width="3.28515625" style="22" customWidth="1"/>
    <col min="2039" max="2039" width="29" style="22" customWidth="1"/>
    <col min="2040" max="2040" width="14" style="22" customWidth="1"/>
    <col min="2041" max="2041" width="11.28515625" style="22" customWidth="1"/>
    <col min="2042" max="2042" width="16.7109375" style="22" customWidth="1"/>
    <col min="2043" max="2043" width="8.85546875" style="22" customWidth="1"/>
    <col min="2044" max="2044" width="29" style="22" customWidth="1"/>
    <col min="2045" max="2293" width="9.140625" style="22"/>
    <col min="2294" max="2294" width="3.28515625" style="22" customWidth="1"/>
    <col min="2295" max="2295" width="29" style="22" customWidth="1"/>
    <col min="2296" max="2296" width="14" style="22" customWidth="1"/>
    <col min="2297" max="2297" width="11.28515625" style="22" customWidth="1"/>
    <col min="2298" max="2298" width="16.7109375" style="22" customWidth="1"/>
    <col min="2299" max="2299" width="8.85546875" style="22" customWidth="1"/>
    <col min="2300" max="2300" width="29" style="22" customWidth="1"/>
    <col min="2301" max="2549" width="9.140625" style="22"/>
    <col min="2550" max="2550" width="3.28515625" style="22" customWidth="1"/>
    <col min="2551" max="2551" width="29" style="22" customWidth="1"/>
    <col min="2552" max="2552" width="14" style="22" customWidth="1"/>
    <col min="2553" max="2553" width="11.28515625" style="22" customWidth="1"/>
    <col min="2554" max="2554" width="16.7109375" style="22" customWidth="1"/>
    <col min="2555" max="2555" width="8.85546875" style="22" customWidth="1"/>
    <col min="2556" max="2556" width="29" style="22" customWidth="1"/>
    <col min="2557" max="2805" width="9.140625" style="22"/>
    <col min="2806" max="2806" width="3.28515625" style="22" customWidth="1"/>
    <col min="2807" max="2807" width="29" style="22" customWidth="1"/>
    <col min="2808" max="2808" width="14" style="22" customWidth="1"/>
    <col min="2809" max="2809" width="11.28515625" style="22" customWidth="1"/>
    <col min="2810" max="2810" width="16.7109375" style="22" customWidth="1"/>
    <col min="2811" max="2811" width="8.85546875" style="22" customWidth="1"/>
    <col min="2812" max="2812" width="29" style="22" customWidth="1"/>
    <col min="2813" max="3061" width="9.140625" style="22"/>
    <col min="3062" max="3062" width="3.28515625" style="22" customWidth="1"/>
    <col min="3063" max="3063" width="29" style="22" customWidth="1"/>
    <col min="3064" max="3064" width="14" style="22" customWidth="1"/>
    <col min="3065" max="3065" width="11.28515625" style="22" customWidth="1"/>
    <col min="3066" max="3066" width="16.7109375" style="22" customWidth="1"/>
    <col min="3067" max="3067" width="8.85546875" style="22" customWidth="1"/>
    <col min="3068" max="3068" width="29" style="22" customWidth="1"/>
    <col min="3069" max="3317" width="9.140625" style="22"/>
    <col min="3318" max="3318" width="3.28515625" style="22" customWidth="1"/>
    <col min="3319" max="3319" width="29" style="22" customWidth="1"/>
    <col min="3320" max="3320" width="14" style="22" customWidth="1"/>
    <col min="3321" max="3321" width="11.28515625" style="22" customWidth="1"/>
    <col min="3322" max="3322" width="16.7109375" style="22" customWidth="1"/>
    <col min="3323" max="3323" width="8.85546875" style="22" customWidth="1"/>
    <col min="3324" max="3324" width="29" style="22" customWidth="1"/>
    <col min="3325" max="3573" width="9.140625" style="22"/>
    <col min="3574" max="3574" width="3.28515625" style="22" customWidth="1"/>
    <col min="3575" max="3575" width="29" style="22" customWidth="1"/>
    <col min="3576" max="3576" width="14" style="22" customWidth="1"/>
    <col min="3577" max="3577" width="11.28515625" style="22" customWidth="1"/>
    <col min="3578" max="3578" width="16.7109375" style="22" customWidth="1"/>
    <col min="3579" max="3579" width="8.85546875" style="22" customWidth="1"/>
    <col min="3580" max="3580" width="29" style="22" customWidth="1"/>
    <col min="3581" max="3829" width="9.140625" style="22"/>
    <col min="3830" max="3830" width="3.28515625" style="22" customWidth="1"/>
    <col min="3831" max="3831" width="29" style="22" customWidth="1"/>
    <col min="3832" max="3832" width="14" style="22" customWidth="1"/>
    <col min="3833" max="3833" width="11.28515625" style="22" customWidth="1"/>
    <col min="3834" max="3834" width="16.7109375" style="22" customWidth="1"/>
    <col min="3835" max="3835" width="8.85546875" style="22" customWidth="1"/>
    <col min="3836" max="3836" width="29" style="22" customWidth="1"/>
    <col min="3837" max="4085" width="9.140625" style="22"/>
    <col min="4086" max="4086" width="3.28515625" style="22" customWidth="1"/>
    <col min="4087" max="4087" width="29" style="22" customWidth="1"/>
    <col min="4088" max="4088" width="14" style="22" customWidth="1"/>
    <col min="4089" max="4089" width="11.28515625" style="22" customWidth="1"/>
    <col min="4090" max="4090" width="16.7109375" style="22" customWidth="1"/>
    <col min="4091" max="4091" width="8.85546875" style="22" customWidth="1"/>
    <col min="4092" max="4092" width="29" style="22" customWidth="1"/>
    <col min="4093" max="4341" width="9.140625" style="22"/>
    <col min="4342" max="4342" width="3.28515625" style="22" customWidth="1"/>
    <col min="4343" max="4343" width="29" style="22" customWidth="1"/>
    <col min="4344" max="4344" width="14" style="22" customWidth="1"/>
    <col min="4345" max="4345" width="11.28515625" style="22" customWidth="1"/>
    <col min="4346" max="4346" width="16.7109375" style="22" customWidth="1"/>
    <col min="4347" max="4347" width="8.85546875" style="22" customWidth="1"/>
    <col min="4348" max="4348" width="29" style="22" customWidth="1"/>
    <col min="4349" max="4597" width="9.140625" style="22"/>
    <col min="4598" max="4598" width="3.28515625" style="22" customWidth="1"/>
    <col min="4599" max="4599" width="29" style="22" customWidth="1"/>
    <col min="4600" max="4600" width="14" style="22" customWidth="1"/>
    <col min="4601" max="4601" width="11.28515625" style="22" customWidth="1"/>
    <col min="4602" max="4602" width="16.7109375" style="22" customWidth="1"/>
    <col min="4603" max="4603" width="8.85546875" style="22" customWidth="1"/>
    <col min="4604" max="4604" width="29" style="22" customWidth="1"/>
    <col min="4605" max="4853" width="9.140625" style="22"/>
    <col min="4854" max="4854" width="3.28515625" style="22" customWidth="1"/>
    <col min="4855" max="4855" width="29" style="22" customWidth="1"/>
    <col min="4856" max="4856" width="14" style="22" customWidth="1"/>
    <col min="4857" max="4857" width="11.28515625" style="22" customWidth="1"/>
    <col min="4858" max="4858" width="16.7109375" style="22" customWidth="1"/>
    <col min="4859" max="4859" width="8.85546875" style="22" customWidth="1"/>
    <col min="4860" max="4860" width="29" style="22" customWidth="1"/>
    <col min="4861" max="5109" width="9.140625" style="22"/>
    <col min="5110" max="5110" width="3.28515625" style="22" customWidth="1"/>
    <col min="5111" max="5111" width="29" style="22" customWidth="1"/>
    <col min="5112" max="5112" width="14" style="22" customWidth="1"/>
    <col min="5113" max="5113" width="11.28515625" style="22" customWidth="1"/>
    <col min="5114" max="5114" width="16.7109375" style="22" customWidth="1"/>
    <col min="5115" max="5115" width="8.85546875" style="22" customWidth="1"/>
    <col min="5116" max="5116" width="29" style="22" customWidth="1"/>
    <col min="5117" max="5365" width="9.140625" style="22"/>
    <col min="5366" max="5366" width="3.28515625" style="22" customWidth="1"/>
    <col min="5367" max="5367" width="29" style="22" customWidth="1"/>
    <col min="5368" max="5368" width="14" style="22" customWidth="1"/>
    <col min="5369" max="5369" width="11.28515625" style="22" customWidth="1"/>
    <col min="5370" max="5370" width="16.7109375" style="22" customWidth="1"/>
    <col min="5371" max="5371" width="8.85546875" style="22" customWidth="1"/>
    <col min="5372" max="5372" width="29" style="22" customWidth="1"/>
    <col min="5373" max="5621" width="9.140625" style="22"/>
    <col min="5622" max="5622" width="3.28515625" style="22" customWidth="1"/>
    <col min="5623" max="5623" width="29" style="22" customWidth="1"/>
    <col min="5624" max="5624" width="14" style="22" customWidth="1"/>
    <col min="5625" max="5625" width="11.28515625" style="22" customWidth="1"/>
    <col min="5626" max="5626" width="16.7109375" style="22" customWidth="1"/>
    <col min="5627" max="5627" width="8.85546875" style="22" customWidth="1"/>
    <col min="5628" max="5628" width="29" style="22" customWidth="1"/>
    <col min="5629" max="5877" width="9.140625" style="22"/>
    <col min="5878" max="5878" width="3.28515625" style="22" customWidth="1"/>
    <col min="5879" max="5879" width="29" style="22" customWidth="1"/>
    <col min="5880" max="5880" width="14" style="22" customWidth="1"/>
    <col min="5881" max="5881" width="11.28515625" style="22" customWidth="1"/>
    <col min="5882" max="5882" width="16.7109375" style="22" customWidth="1"/>
    <col min="5883" max="5883" width="8.85546875" style="22" customWidth="1"/>
    <col min="5884" max="5884" width="29" style="22" customWidth="1"/>
    <col min="5885" max="6133" width="9.140625" style="22"/>
    <col min="6134" max="6134" width="3.28515625" style="22" customWidth="1"/>
    <col min="6135" max="6135" width="29" style="22" customWidth="1"/>
    <col min="6136" max="6136" width="14" style="22" customWidth="1"/>
    <col min="6137" max="6137" width="11.28515625" style="22" customWidth="1"/>
    <col min="6138" max="6138" width="16.7109375" style="22" customWidth="1"/>
    <col min="6139" max="6139" width="8.85546875" style="22" customWidth="1"/>
    <col min="6140" max="6140" width="29" style="22" customWidth="1"/>
    <col min="6141" max="6389" width="9.140625" style="22"/>
    <col min="6390" max="6390" width="3.28515625" style="22" customWidth="1"/>
    <col min="6391" max="6391" width="29" style="22" customWidth="1"/>
    <col min="6392" max="6392" width="14" style="22" customWidth="1"/>
    <col min="6393" max="6393" width="11.28515625" style="22" customWidth="1"/>
    <col min="6394" max="6394" width="16.7109375" style="22" customWidth="1"/>
    <col min="6395" max="6395" width="8.85546875" style="22" customWidth="1"/>
    <col min="6396" max="6396" width="29" style="22" customWidth="1"/>
    <col min="6397" max="6645" width="9.140625" style="22"/>
    <col min="6646" max="6646" width="3.28515625" style="22" customWidth="1"/>
    <col min="6647" max="6647" width="29" style="22" customWidth="1"/>
    <col min="6648" max="6648" width="14" style="22" customWidth="1"/>
    <col min="6649" max="6649" width="11.28515625" style="22" customWidth="1"/>
    <col min="6650" max="6650" width="16.7109375" style="22" customWidth="1"/>
    <col min="6651" max="6651" width="8.85546875" style="22" customWidth="1"/>
    <col min="6652" max="6652" width="29" style="22" customWidth="1"/>
    <col min="6653" max="6901" width="9.140625" style="22"/>
    <col min="6902" max="6902" width="3.28515625" style="22" customWidth="1"/>
    <col min="6903" max="6903" width="29" style="22" customWidth="1"/>
    <col min="6904" max="6904" width="14" style="22" customWidth="1"/>
    <col min="6905" max="6905" width="11.28515625" style="22" customWidth="1"/>
    <col min="6906" max="6906" width="16.7109375" style="22" customWidth="1"/>
    <col min="6907" max="6907" width="8.85546875" style="22" customWidth="1"/>
    <col min="6908" max="6908" width="29" style="22" customWidth="1"/>
    <col min="6909" max="7157" width="9.140625" style="22"/>
    <col min="7158" max="7158" width="3.28515625" style="22" customWidth="1"/>
    <col min="7159" max="7159" width="29" style="22" customWidth="1"/>
    <col min="7160" max="7160" width="14" style="22" customWidth="1"/>
    <col min="7161" max="7161" width="11.28515625" style="22" customWidth="1"/>
    <col min="7162" max="7162" width="16.7109375" style="22" customWidth="1"/>
    <col min="7163" max="7163" width="8.85546875" style="22" customWidth="1"/>
    <col min="7164" max="7164" width="29" style="22" customWidth="1"/>
    <col min="7165" max="7413" width="9.140625" style="22"/>
    <col min="7414" max="7414" width="3.28515625" style="22" customWidth="1"/>
    <col min="7415" max="7415" width="29" style="22" customWidth="1"/>
    <col min="7416" max="7416" width="14" style="22" customWidth="1"/>
    <col min="7417" max="7417" width="11.28515625" style="22" customWidth="1"/>
    <col min="7418" max="7418" width="16.7109375" style="22" customWidth="1"/>
    <col min="7419" max="7419" width="8.85546875" style="22" customWidth="1"/>
    <col min="7420" max="7420" width="29" style="22" customWidth="1"/>
    <col min="7421" max="7669" width="9.140625" style="22"/>
    <col min="7670" max="7670" width="3.28515625" style="22" customWidth="1"/>
    <col min="7671" max="7671" width="29" style="22" customWidth="1"/>
    <col min="7672" max="7672" width="14" style="22" customWidth="1"/>
    <col min="7673" max="7673" width="11.28515625" style="22" customWidth="1"/>
    <col min="7674" max="7674" width="16.7109375" style="22" customWidth="1"/>
    <col min="7675" max="7675" width="8.85546875" style="22" customWidth="1"/>
    <col min="7676" max="7676" width="29" style="22" customWidth="1"/>
    <col min="7677" max="7925" width="9.140625" style="22"/>
    <col min="7926" max="7926" width="3.28515625" style="22" customWidth="1"/>
    <col min="7927" max="7927" width="29" style="22" customWidth="1"/>
    <col min="7928" max="7928" width="14" style="22" customWidth="1"/>
    <col min="7929" max="7929" width="11.28515625" style="22" customWidth="1"/>
    <col min="7930" max="7930" width="16.7109375" style="22" customWidth="1"/>
    <col min="7931" max="7931" width="8.85546875" style="22" customWidth="1"/>
    <col min="7932" max="7932" width="29" style="22" customWidth="1"/>
    <col min="7933" max="8181" width="9.140625" style="22"/>
    <col min="8182" max="8182" width="3.28515625" style="22" customWidth="1"/>
    <col min="8183" max="8183" width="29" style="22" customWidth="1"/>
    <col min="8184" max="8184" width="14" style="22" customWidth="1"/>
    <col min="8185" max="8185" width="11.28515625" style="22" customWidth="1"/>
    <col min="8186" max="8186" width="16.7109375" style="22" customWidth="1"/>
    <col min="8187" max="8187" width="8.85546875" style="22" customWidth="1"/>
    <col min="8188" max="8188" width="29" style="22" customWidth="1"/>
    <col min="8189" max="8437" width="9.140625" style="22"/>
    <col min="8438" max="8438" width="3.28515625" style="22" customWidth="1"/>
    <col min="8439" max="8439" width="29" style="22" customWidth="1"/>
    <col min="8440" max="8440" width="14" style="22" customWidth="1"/>
    <col min="8441" max="8441" width="11.28515625" style="22" customWidth="1"/>
    <col min="8442" max="8442" width="16.7109375" style="22" customWidth="1"/>
    <col min="8443" max="8443" width="8.85546875" style="22" customWidth="1"/>
    <col min="8444" max="8444" width="29" style="22" customWidth="1"/>
    <col min="8445" max="8693" width="9.140625" style="22"/>
    <col min="8694" max="8694" width="3.28515625" style="22" customWidth="1"/>
    <col min="8695" max="8695" width="29" style="22" customWidth="1"/>
    <col min="8696" max="8696" width="14" style="22" customWidth="1"/>
    <col min="8697" max="8697" width="11.28515625" style="22" customWidth="1"/>
    <col min="8698" max="8698" width="16.7109375" style="22" customWidth="1"/>
    <col min="8699" max="8699" width="8.85546875" style="22" customWidth="1"/>
    <col min="8700" max="8700" width="29" style="22" customWidth="1"/>
    <col min="8701" max="8949" width="9.140625" style="22"/>
    <col min="8950" max="8950" width="3.28515625" style="22" customWidth="1"/>
    <col min="8951" max="8951" width="29" style="22" customWidth="1"/>
    <col min="8952" max="8952" width="14" style="22" customWidth="1"/>
    <col min="8953" max="8953" width="11.28515625" style="22" customWidth="1"/>
    <col min="8954" max="8954" width="16.7109375" style="22" customWidth="1"/>
    <col min="8955" max="8955" width="8.85546875" style="22" customWidth="1"/>
    <col min="8956" max="8956" width="29" style="22" customWidth="1"/>
    <col min="8957" max="9205" width="9.140625" style="22"/>
    <col min="9206" max="9206" width="3.28515625" style="22" customWidth="1"/>
    <col min="9207" max="9207" width="29" style="22" customWidth="1"/>
    <col min="9208" max="9208" width="14" style="22" customWidth="1"/>
    <col min="9209" max="9209" width="11.28515625" style="22" customWidth="1"/>
    <col min="9210" max="9210" width="16.7109375" style="22" customWidth="1"/>
    <col min="9211" max="9211" width="8.85546875" style="22" customWidth="1"/>
    <col min="9212" max="9212" width="29" style="22" customWidth="1"/>
    <col min="9213" max="9461" width="9.140625" style="22"/>
    <col min="9462" max="9462" width="3.28515625" style="22" customWidth="1"/>
    <col min="9463" max="9463" width="29" style="22" customWidth="1"/>
    <col min="9464" max="9464" width="14" style="22" customWidth="1"/>
    <col min="9465" max="9465" width="11.28515625" style="22" customWidth="1"/>
    <col min="9466" max="9466" width="16.7109375" style="22" customWidth="1"/>
    <col min="9467" max="9467" width="8.85546875" style="22" customWidth="1"/>
    <col min="9468" max="9468" width="29" style="22" customWidth="1"/>
    <col min="9469" max="9717" width="9.140625" style="22"/>
    <col min="9718" max="9718" width="3.28515625" style="22" customWidth="1"/>
    <col min="9719" max="9719" width="29" style="22" customWidth="1"/>
    <col min="9720" max="9720" width="14" style="22" customWidth="1"/>
    <col min="9721" max="9721" width="11.28515625" style="22" customWidth="1"/>
    <col min="9722" max="9722" width="16.7109375" style="22" customWidth="1"/>
    <col min="9723" max="9723" width="8.85546875" style="22" customWidth="1"/>
    <col min="9724" max="9724" width="29" style="22" customWidth="1"/>
    <col min="9725" max="9973" width="9.140625" style="22"/>
    <col min="9974" max="9974" width="3.28515625" style="22" customWidth="1"/>
    <col min="9975" max="9975" width="29" style="22" customWidth="1"/>
    <col min="9976" max="9976" width="14" style="22" customWidth="1"/>
    <col min="9977" max="9977" width="11.28515625" style="22" customWidth="1"/>
    <col min="9978" max="9978" width="16.7109375" style="22" customWidth="1"/>
    <col min="9979" max="9979" width="8.85546875" style="22" customWidth="1"/>
    <col min="9980" max="9980" width="29" style="22" customWidth="1"/>
    <col min="9981" max="10229" width="9.140625" style="22"/>
    <col min="10230" max="10230" width="3.28515625" style="22" customWidth="1"/>
    <col min="10231" max="10231" width="29" style="22" customWidth="1"/>
    <col min="10232" max="10232" width="14" style="22" customWidth="1"/>
    <col min="10233" max="10233" width="11.28515625" style="22" customWidth="1"/>
    <col min="10234" max="10234" width="16.7109375" style="22" customWidth="1"/>
    <col min="10235" max="10235" width="8.85546875" style="22" customWidth="1"/>
    <col min="10236" max="10236" width="29" style="22" customWidth="1"/>
    <col min="10237" max="10485" width="9.140625" style="22"/>
    <col min="10486" max="10486" width="3.28515625" style="22" customWidth="1"/>
    <col min="10487" max="10487" width="29" style="22" customWidth="1"/>
    <col min="10488" max="10488" width="14" style="22" customWidth="1"/>
    <col min="10489" max="10489" width="11.28515625" style="22" customWidth="1"/>
    <col min="10490" max="10490" width="16.7109375" style="22" customWidth="1"/>
    <col min="10491" max="10491" width="8.85546875" style="22" customWidth="1"/>
    <col min="10492" max="10492" width="29" style="22" customWidth="1"/>
    <col min="10493" max="10741" width="9.140625" style="22"/>
    <col min="10742" max="10742" width="3.28515625" style="22" customWidth="1"/>
    <col min="10743" max="10743" width="29" style="22" customWidth="1"/>
    <col min="10744" max="10744" width="14" style="22" customWidth="1"/>
    <col min="10745" max="10745" width="11.28515625" style="22" customWidth="1"/>
    <col min="10746" max="10746" width="16.7109375" style="22" customWidth="1"/>
    <col min="10747" max="10747" width="8.85546875" style="22" customWidth="1"/>
    <col min="10748" max="10748" width="29" style="22" customWidth="1"/>
    <col min="10749" max="10997" width="9.140625" style="22"/>
    <col min="10998" max="10998" width="3.28515625" style="22" customWidth="1"/>
    <col min="10999" max="10999" width="29" style="22" customWidth="1"/>
    <col min="11000" max="11000" width="14" style="22" customWidth="1"/>
    <col min="11001" max="11001" width="11.28515625" style="22" customWidth="1"/>
    <col min="11002" max="11002" width="16.7109375" style="22" customWidth="1"/>
    <col min="11003" max="11003" width="8.85546875" style="22" customWidth="1"/>
    <col min="11004" max="11004" width="29" style="22" customWidth="1"/>
    <col min="11005" max="11253" width="9.140625" style="22"/>
    <col min="11254" max="11254" width="3.28515625" style="22" customWidth="1"/>
    <col min="11255" max="11255" width="29" style="22" customWidth="1"/>
    <col min="11256" max="11256" width="14" style="22" customWidth="1"/>
    <col min="11257" max="11257" width="11.28515625" style="22" customWidth="1"/>
    <col min="11258" max="11258" width="16.7109375" style="22" customWidth="1"/>
    <col min="11259" max="11259" width="8.85546875" style="22" customWidth="1"/>
    <col min="11260" max="11260" width="29" style="22" customWidth="1"/>
    <col min="11261" max="11509" width="9.140625" style="22"/>
    <col min="11510" max="11510" width="3.28515625" style="22" customWidth="1"/>
    <col min="11511" max="11511" width="29" style="22" customWidth="1"/>
    <col min="11512" max="11512" width="14" style="22" customWidth="1"/>
    <col min="11513" max="11513" width="11.28515625" style="22" customWidth="1"/>
    <col min="11514" max="11514" width="16.7109375" style="22" customWidth="1"/>
    <col min="11515" max="11515" width="8.85546875" style="22" customWidth="1"/>
    <col min="11516" max="11516" width="29" style="22" customWidth="1"/>
    <col min="11517" max="11765" width="9.140625" style="22"/>
    <col min="11766" max="11766" width="3.28515625" style="22" customWidth="1"/>
    <col min="11767" max="11767" width="29" style="22" customWidth="1"/>
    <col min="11768" max="11768" width="14" style="22" customWidth="1"/>
    <col min="11769" max="11769" width="11.28515625" style="22" customWidth="1"/>
    <col min="11770" max="11770" width="16.7109375" style="22" customWidth="1"/>
    <col min="11771" max="11771" width="8.85546875" style="22" customWidth="1"/>
    <col min="11772" max="11772" width="29" style="22" customWidth="1"/>
    <col min="11773" max="12021" width="9.140625" style="22"/>
    <col min="12022" max="12022" width="3.28515625" style="22" customWidth="1"/>
    <col min="12023" max="12023" width="29" style="22" customWidth="1"/>
    <col min="12024" max="12024" width="14" style="22" customWidth="1"/>
    <col min="12025" max="12025" width="11.28515625" style="22" customWidth="1"/>
    <col min="12026" max="12026" width="16.7109375" style="22" customWidth="1"/>
    <col min="12027" max="12027" width="8.85546875" style="22" customWidth="1"/>
    <col min="12028" max="12028" width="29" style="22" customWidth="1"/>
    <col min="12029" max="12277" width="9.140625" style="22"/>
    <col min="12278" max="12278" width="3.28515625" style="22" customWidth="1"/>
    <col min="12279" max="12279" width="29" style="22" customWidth="1"/>
    <col min="12280" max="12280" width="14" style="22" customWidth="1"/>
    <col min="12281" max="12281" width="11.28515625" style="22" customWidth="1"/>
    <col min="12282" max="12282" width="16.7109375" style="22" customWidth="1"/>
    <col min="12283" max="12283" width="8.85546875" style="22" customWidth="1"/>
    <col min="12284" max="12284" width="29" style="22" customWidth="1"/>
    <col min="12285" max="12533" width="9.140625" style="22"/>
    <col min="12534" max="12534" width="3.28515625" style="22" customWidth="1"/>
    <col min="12535" max="12535" width="29" style="22" customWidth="1"/>
    <col min="12536" max="12536" width="14" style="22" customWidth="1"/>
    <col min="12537" max="12537" width="11.28515625" style="22" customWidth="1"/>
    <col min="12538" max="12538" width="16.7109375" style="22" customWidth="1"/>
    <col min="12539" max="12539" width="8.85546875" style="22" customWidth="1"/>
    <col min="12540" max="12540" width="29" style="22" customWidth="1"/>
    <col min="12541" max="12789" width="9.140625" style="22"/>
    <col min="12790" max="12790" width="3.28515625" style="22" customWidth="1"/>
    <col min="12791" max="12791" width="29" style="22" customWidth="1"/>
    <col min="12792" max="12792" width="14" style="22" customWidth="1"/>
    <col min="12793" max="12793" width="11.28515625" style="22" customWidth="1"/>
    <col min="12794" max="12794" width="16.7109375" style="22" customWidth="1"/>
    <col min="12795" max="12795" width="8.85546875" style="22" customWidth="1"/>
    <col min="12796" max="12796" width="29" style="22" customWidth="1"/>
    <col min="12797" max="13045" width="9.140625" style="22"/>
    <col min="13046" max="13046" width="3.28515625" style="22" customWidth="1"/>
    <col min="13047" max="13047" width="29" style="22" customWidth="1"/>
    <col min="13048" max="13048" width="14" style="22" customWidth="1"/>
    <col min="13049" max="13049" width="11.28515625" style="22" customWidth="1"/>
    <col min="13050" max="13050" width="16.7109375" style="22" customWidth="1"/>
    <col min="13051" max="13051" width="8.85546875" style="22" customWidth="1"/>
    <col min="13052" max="13052" width="29" style="22" customWidth="1"/>
    <col min="13053" max="13301" width="9.140625" style="22"/>
    <col min="13302" max="13302" width="3.28515625" style="22" customWidth="1"/>
    <col min="13303" max="13303" width="29" style="22" customWidth="1"/>
    <col min="13304" max="13304" width="14" style="22" customWidth="1"/>
    <col min="13305" max="13305" width="11.28515625" style="22" customWidth="1"/>
    <col min="13306" max="13306" width="16.7109375" style="22" customWidth="1"/>
    <col min="13307" max="13307" width="8.85546875" style="22" customWidth="1"/>
    <col min="13308" max="13308" width="29" style="22" customWidth="1"/>
    <col min="13309" max="13557" width="9.140625" style="22"/>
    <col min="13558" max="13558" width="3.28515625" style="22" customWidth="1"/>
    <col min="13559" max="13559" width="29" style="22" customWidth="1"/>
    <col min="13560" max="13560" width="14" style="22" customWidth="1"/>
    <col min="13561" max="13561" width="11.28515625" style="22" customWidth="1"/>
    <col min="13562" max="13562" width="16.7109375" style="22" customWidth="1"/>
    <col min="13563" max="13563" width="8.85546875" style="22" customWidth="1"/>
    <col min="13564" max="13564" width="29" style="22" customWidth="1"/>
    <col min="13565" max="13813" width="9.140625" style="22"/>
    <col min="13814" max="13814" width="3.28515625" style="22" customWidth="1"/>
    <col min="13815" max="13815" width="29" style="22" customWidth="1"/>
    <col min="13816" max="13816" width="14" style="22" customWidth="1"/>
    <col min="13817" max="13817" width="11.28515625" style="22" customWidth="1"/>
    <col min="13818" max="13818" width="16.7109375" style="22" customWidth="1"/>
    <col min="13819" max="13819" width="8.85546875" style="22" customWidth="1"/>
    <col min="13820" max="13820" width="29" style="22" customWidth="1"/>
    <col min="13821" max="14069" width="9.140625" style="22"/>
    <col min="14070" max="14070" width="3.28515625" style="22" customWidth="1"/>
    <col min="14071" max="14071" width="29" style="22" customWidth="1"/>
    <col min="14072" max="14072" width="14" style="22" customWidth="1"/>
    <col min="14073" max="14073" width="11.28515625" style="22" customWidth="1"/>
    <col min="14074" max="14074" width="16.7109375" style="22" customWidth="1"/>
    <col min="14075" max="14075" width="8.85546875" style="22" customWidth="1"/>
    <col min="14076" max="14076" width="29" style="22" customWidth="1"/>
    <col min="14077" max="14325" width="9.140625" style="22"/>
    <col min="14326" max="14326" width="3.28515625" style="22" customWidth="1"/>
    <col min="14327" max="14327" width="29" style="22" customWidth="1"/>
    <col min="14328" max="14328" width="14" style="22" customWidth="1"/>
    <col min="14329" max="14329" width="11.28515625" style="22" customWidth="1"/>
    <col min="14330" max="14330" width="16.7109375" style="22" customWidth="1"/>
    <col min="14331" max="14331" width="8.85546875" style="22" customWidth="1"/>
    <col min="14332" max="14332" width="29" style="22" customWidth="1"/>
    <col min="14333" max="14581" width="9.140625" style="22"/>
    <col min="14582" max="14582" width="3.28515625" style="22" customWidth="1"/>
    <col min="14583" max="14583" width="29" style="22" customWidth="1"/>
    <col min="14584" max="14584" width="14" style="22" customWidth="1"/>
    <col min="14585" max="14585" width="11.28515625" style="22" customWidth="1"/>
    <col min="14586" max="14586" width="16.7109375" style="22" customWidth="1"/>
    <col min="14587" max="14587" width="8.85546875" style="22" customWidth="1"/>
    <col min="14588" max="14588" width="29" style="22" customWidth="1"/>
    <col min="14589" max="14837" width="9.140625" style="22"/>
    <col min="14838" max="14838" width="3.28515625" style="22" customWidth="1"/>
    <col min="14839" max="14839" width="29" style="22" customWidth="1"/>
    <col min="14840" max="14840" width="14" style="22" customWidth="1"/>
    <col min="14841" max="14841" width="11.28515625" style="22" customWidth="1"/>
    <col min="14842" max="14842" width="16.7109375" style="22" customWidth="1"/>
    <col min="14843" max="14843" width="8.85546875" style="22" customWidth="1"/>
    <col min="14844" max="14844" width="29" style="22" customWidth="1"/>
    <col min="14845" max="15093" width="9.140625" style="22"/>
    <col min="15094" max="15094" width="3.28515625" style="22" customWidth="1"/>
    <col min="15095" max="15095" width="29" style="22" customWidth="1"/>
    <col min="15096" max="15096" width="14" style="22" customWidth="1"/>
    <col min="15097" max="15097" width="11.28515625" style="22" customWidth="1"/>
    <col min="15098" max="15098" width="16.7109375" style="22" customWidth="1"/>
    <col min="15099" max="15099" width="8.85546875" style="22" customWidth="1"/>
    <col min="15100" max="15100" width="29" style="22" customWidth="1"/>
    <col min="15101" max="15349" width="9.140625" style="22"/>
    <col min="15350" max="15350" width="3.28515625" style="22" customWidth="1"/>
    <col min="15351" max="15351" width="29" style="22" customWidth="1"/>
    <col min="15352" max="15352" width="14" style="22" customWidth="1"/>
    <col min="15353" max="15353" width="11.28515625" style="22" customWidth="1"/>
    <col min="15354" max="15354" width="16.7109375" style="22" customWidth="1"/>
    <col min="15355" max="15355" width="8.85546875" style="22" customWidth="1"/>
    <col min="15356" max="15356" width="29" style="22" customWidth="1"/>
    <col min="15357" max="15605" width="9.140625" style="22"/>
    <col min="15606" max="15606" width="3.28515625" style="22" customWidth="1"/>
    <col min="15607" max="15607" width="29" style="22" customWidth="1"/>
    <col min="15608" max="15608" width="14" style="22" customWidth="1"/>
    <col min="15609" max="15609" width="11.28515625" style="22" customWidth="1"/>
    <col min="15610" max="15610" width="16.7109375" style="22" customWidth="1"/>
    <col min="15611" max="15611" width="8.85546875" style="22" customWidth="1"/>
    <col min="15612" max="15612" width="29" style="22" customWidth="1"/>
    <col min="15613" max="15861" width="9.140625" style="22"/>
    <col min="15862" max="15862" width="3.28515625" style="22" customWidth="1"/>
    <col min="15863" max="15863" width="29" style="22" customWidth="1"/>
    <col min="15864" max="15864" width="14" style="22" customWidth="1"/>
    <col min="15865" max="15865" width="11.28515625" style="22" customWidth="1"/>
    <col min="15866" max="15866" width="16.7109375" style="22" customWidth="1"/>
    <col min="15867" max="15867" width="8.85546875" style="22" customWidth="1"/>
    <col min="15868" max="15868" width="29" style="22" customWidth="1"/>
    <col min="15869" max="16117" width="9.140625" style="22"/>
    <col min="16118" max="16118" width="3.28515625" style="22" customWidth="1"/>
    <col min="16119" max="16119" width="29" style="22" customWidth="1"/>
    <col min="16120" max="16120" width="14" style="22" customWidth="1"/>
    <col min="16121" max="16121" width="11.28515625" style="22" customWidth="1"/>
    <col min="16122" max="16122" width="16.7109375" style="22" customWidth="1"/>
    <col min="16123" max="16123" width="8.85546875" style="22" customWidth="1"/>
    <col min="16124" max="16124" width="29" style="22" customWidth="1"/>
    <col min="16125" max="16384" width="9.140625" style="22"/>
  </cols>
  <sheetData>
    <row r="1" spans="1:245" ht="15.75" x14ac:dyDescent="0.2">
      <c r="C1" s="209"/>
      <c r="D1" s="209"/>
      <c r="E1" s="209"/>
      <c r="F1" s="209"/>
      <c r="G1" s="209"/>
      <c r="H1" s="209"/>
      <c r="I1" s="209"/>
      <c r="J1" s="209"/>
      <c r="K1" s="209"/>
    </row>
    <row r="2" spans="1:245" ht="30.75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  <c r="J2" s="411"/>
      <c r="K2" s="296"/>
    </row>
    <row r="3" spans="1:245" ht="15.75" x14ac:dyDescent="0.2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09"/>
    </row>
    <row r="4" spans="1:245" ht="2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09"/>
    </row>
    <row r="5" spans="1:245" ht="15.75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09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</row>
    <row r="6" spans="1:245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09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</row>
    <row r="7" spans="1:245" ht="15.75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09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</row>
    <row r="8" spans="1:245" ht="15.75" x14ac:dyDescent="0.2">
      <c r="A8" s="209"/>
      <c r="B8" s="209"/>
      <c r="C8" s="209"/>
      <c r="D8" s="209"/>
      <c r="E8" s="209"/>
      <c r="F8" s="209"/>
      <c r="G8" s="209"/>
      <c r="I8" s="209"/>
      <c r="J8" s="209"/>
      <c r="K8" s="209"/>
    </row>
    <row r="9" spans="1:245" ht="15.75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66"/>
    </row>
    <row r="10" spans="1:245" ht="15.75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66"/>
    </row>
    <row r="11" spans="1:245" ht="15" customHeight="1" x14ac:dyDescent="0.2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09"/>
    </row>
    <row r="12" spans="1:245" ht="16.5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94"/>
    </row>
    <row r="13" spans="1:245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5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5" ht="44.25" customHeight="1" x14ac:dyDescent="0.2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09"/>
    </row>
    <row r="16" spans="1:245" ht="66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71"/>
    </row>
    <row r="17" spans="1:13" ht="16.5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  <c r="J17" s="395"/>
      <c r="K17" s="294"/>
    </row>
    <row r="18" spans="1:13" ht="87.75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  <c r="J18" s="399"/>
      <c r="K18" s="271"/>
    </row>
    <row r="19" spans="1:13" ht="16.5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  <c r="J19" s="395"/>
      <c r="K19" s="294"/>
    </row>
    <row r="20" spans="1:13" ht="60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  <c r="J20" s="399"/>
      <c r="K20" s="271"/>
    </row>
    <row r="21" spans="1:13" ht="16.5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  <c r="J21" s="395"/>
      <c r="K21" s="294"/>
    </row>
    <row r="22" spans="1:13" ht="15.75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  <c r="J22" s="399"/>
      <c r="K22" s="271"/>
    </row>
    <row r="23" spans="1:13" ht="15.75" x14ac:dyDescent="0.2">
      <c r="A23" s="421" t="s">
        <v>372</v>
      </c>
      <c r="B23" s="421"/>
      <c r="C23" s="421"/>
      <c r="D23" s="421"/>
      <c r="E23" s="421"/>
      <c r="F23" s="421"/>
      <c r="G23" s="421"/>
      <c r="H23" s="421"/>
      <c r="I23" s="421"/>
      <c r="J23" s="421"/>
      <c r="K23" s="421"/>
    </row>
    <row r="24" spans="1:13" s="215" customFormat="1" ht="45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109" t="s">
        <v>130</v>
      </c>
      <c r="J24" s="109" t="s">
        <v>258</v>
      </c>
      <c r="K24" s="297" t="s">
        <v>360</v>
      </c>
    </row>
    <row r="25" spans="1:13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318">
        <v>3</v>
      </c>
      <c r="F25" s="218">
        <f>E25*2</f>
        <v>6</v>
      </c>
      <c r="G25" s="219">
        <f ca="1">'1-DD'!C131</f>
        <v>7515.6509975338686</v>
      </c>
      <c r="H25" s="293">
        <f ca="1">G25*2</f>
        <v>15031.301995067737</v>
      </c>
      <c r="I25" s="293">
        <f t="shared" ref="I25:I30" ca="1" si="0">H25*E25</f>
        <v>45093.905985203208</v>
      </c>
      <c r="J25" s="293">
        <f ca="1">I25*12</f>
        <v>541126.87182243844</v>
      </c>
      <c r="K25" s="298">
        <f>'1-DD'!D33*F25</f>
        <v>0</v>
      </c>
      <c r="L25" s="314" t="e">
        <f>K25-#REF!</f>
        <v>#REF!</v>
      </c>
    </row>
    <row r="26" spans="1:13" s="220" customFormat="1" ht="25.5" x14ac:dyDescent="0.2">
      <c r="A26" s="397"/>
      <c r="B26" s="216">
        <v>2</v>
      </c>
      <c r="C26" s="140" t="s">
        <v>305</v>
      </c>
      <c r="D26" s="140" t="s">
        <v>85</v>
      </c>
      <c r="E26" s="318">
        <v>1</v>
      </c>
      <c r="F26" s="218">
        <f t="shared" ref="F26:F31" si="1">E26*2</f>
        <v>2</v>
      </c>
      <c r="G26" s="219">
        <f ca="1">'2-DDM '!C131</f>
        <v>8517.7158971606732</v>
      </c>
      <c r="H26" s="293">
        <f t="shared" ref="H26:H31" ca="1" si="2">G26*2</f>
        <v>17035.431794321346</v>
      </c>
      <c r="I26" s="293">
        <f t="shared" ca="1" si="0"/>
        <v>17035.431794321346</v>
      </c>
      <c r="J26" s="293">
        <f ca="1">I26*12</f>
        <v>204425.18153185616</v>
      </c>
      <c r="K26" s="298">
        <f>'3-DDMon'!D33*F26</f>
        <v>2268.0013798</v>
      </c>
      <c r="L26" s="314" t="e">
        <f>K26-#REF!</f>
        <v>#REF!</v>
      </c>
    </row>
    <row r="27" spans="1:13" s="317" customFormat="1" ht="25.5" x14ac:dyDescent="0.2">
      <c r="A27" s="397"/>
      <c r="B27" s="216">
        <v>3</v>
      </c>
      <c r="C27" s="140" t="s">
        <v>306</v>
      </c>
      <c r="D27" s="140" t="s">
        <v>85</v>
      </c>
      <c r="E27" s="318">
        <v>1</v>
      </c>
      <c r="F27" s="218">
        <f t="shared" si="1"/>
        <v>2</v>
      </c>
      <c r="G27" s="219">
        <f ca="1">'3-DDMon'!C131</f>
        <v>7515.6509975338686</v>
      </c>
      <c r="H27" s="293">
        <f t="shared" ca="1" si="2"/>
        <v>15031.301995067737</v>
      </c>
      <c r="I27" s="293">
        <f t="shared" ca="1" si="0"/>
        <v>15031.301995067737</v>
      </c>
      <c r="J27" s="293">
        <f ca="1">I27*12</f>
        <v>180375.62394081283</v>
      </c>
      <c r="K27" s="298">
        <f>'3-DDMon'!D33*F27</f>
        <v>2268.0013798</v>
      </c>
      <c r="L27" s="316" t="e">
        <f>K27-#REF!</f>
        <v>#REF!</v>
      </c>
    </row>
    <row r="28" spans="1:13" s="220" customFormat="1" ht="25.5" x14ac:dyDescent="0.2">
      <c r="A28" s="397"/>
      <c r="B28" s="216">
        <v>4</v>
      </c>
      <c r="C28" s="140" t="s">
        <v>307</v>
      </c>
      <c r="D28" s="140" t="s">
        <v>84</v>
      </c>
      <c r="E28" s="318">
        <v>4</v>
      </c>
      <c r="F28" s="218">
        <f t="shared" si="1"/>
        <v>8</v>
      </c>
      <c r="G28" s="219">
        <f ca="1">'4-AN'!C131</f>
        <v>8254.7283398611526</v>
      </c>
      <c r="H28" s="293">
        <f t="shared" ca="1" si="2"/>
        <v>16509.456679722305</v>
      </c>
      <c r="I28" s="293">
        <f t="shared" ca="1" si="0"/>
        <v>66037.826718889221</v>
      </c>
      <c r="J28" s="293">
        <f t="shared" ref="J28:J29" ca="1" si="3">I28*12</f>
        <v>792453.92062667059</v>
      </c>
      <c r="K28" s="298">
        <f>'4-AN'!D33*F28</f>
        <v>10061.678848567273</v>
      </c>
      <c r="L28" s="314" t="e">
        <f>K28-#REF!</f>
        <v>#REF!</v>
      </c>
    </row>
    <row r="29" spans="1:13" s="220" customFormat="1" ht="25.5" x14ac:dyDescent="0.2">
      <c r="A29" s="397"/>
      <c r="B29" s="216">
        <v>5</v>
      </c>
      <c r="C29" s="140" t="s">
        <v>308</v>
      </c>
      <c r="D29" s="140" t="s">
        <v>85</v>
      </c>
      <c r="E29" s="318">
        <v>1</v>
      </c>
      <c r="F29" s="218">
        <f t="shared" si="1"/>
        <v>2</v>
      </c>
      <c r="G29" s="219">
        <f ca="1">'5-AD'!C131</f>
        <v>7527.3062611718906</v>
      </c>
      <c r="H29" s="293">
        <f t="shared" ca="1" si="2"/>
        <v>15054.612522343781</v>
      </c>
      <c r="I29" s="293">
        <f t="shared" ca="1" si="0"/>
        <v>15054.612522343781</v>
      </c>
      <c r="J29" s="293">
        <f t="shared" ca="1" si="3"/>
        <v>180655.35026812536</v>
      </c>
      <c r="K29" s="298">
        <f>'5-AD'!D33*F29</f>
        <v>2268.0013798</v>
      </c>
      <c r="L29" s="314" t="e">
        <f>K29-#REF!</f>
        <v>#REF!</v>
      </c>
    </row>
    <row r="30" spans="1:13" s="220" customFormat="1" ht="25.5" customHeight="1" x14ac:dyDescent="0.2">
      <c r="A30" s="397"/>
      <c r="B30" s="216">
        <v>6</v>
      </c>
      <c r="C30" s="140" t="s">
        <v>309</v>
      </c>
      <c r="D30" s="140" t="s">
        <v>84</v>
      </c>
      <c r="E30" s="318">
        <v>1</v>
      </c>
      <c r="F30" s="218">
        <f t="shared" si="1"/>
        <v>2</v>
      </c>
      <c r="G30" s="219">
        <f ca="1">'6-ANM'!C131</f>
        <v>9343.3638101741108</v>
      </c>
      <c r="H30" s="293">
        <f ca="1">G30*2</f>
        <v>18686.727620348222</v>
      </c>
      <c r="I30" s="293">
        <f t="shared" ca="1" si="0"/>
        <v>18686.727620348222</v>
      </c>
      <c r="J30" s="293">
        <f ca="1">I30*12</f>
        <v>224240.73144417867</v>
      </c>
      <c r="K30" s="298">
        <f>'6-ANM'!D33*F30</f>
        <v>2766.9616833560003</v>
      </c>
      <c r="L30" s="314" t="e">
        <f>K30-#REF!</f>
        <v>#REF!</v>
      </c>
    </row>
    <row r="31" spans="1:13" s="220" customFormat="1" ht="32.25" customHeight="1" x14ac:dyDescent="0.2">
      <c r="A31" s="397"/>
      <c r="B31" s="216">
        <v>7</v>
      </c>
      <c r="C31" s="140" t="s">
        <v>310</v>
      </c>
      <c r="D31" s="140" t="s">
        <v>85</v>
      </c>
      <c r="E31" s="318">
        <v>1</v>
      </c>
      <c r="F31" s="218">
        <f t="shared" si="1"/>
        <v>2</v>
      </c>
      <c r="G31" s="219">
        <f ca="1">'7-ADM '!C131</f>
        <v>8542.0102597222703</v>
      </c>
      <c r="H31" s="293">
        <f t="shared" ca="1" si="2"/>
        <v>17084.020519444541</v>
      </c>
      <c r="I31" s="293">
        <f ca="1">H31</f>
        <v>17084.020519444541</v>
      </c>
      <c r="J31" s="293">
        <f ca="1">I31*12</f>
        <v>205008.24623333447</v>
      </c>
      <c r="K31" s="298">
        <f>'7-ADM '!D33*F31</f>
        <v>2494.8015177800003</v>
      </c>
      <c r="L31" s="314" t="e">
        <f>K31-#REF!</f>
        <v>#REF!</v>
      </c>
    </row>
    <row r="32" spans="1:13" s="215" customFormat="1" ht="15.75" customHeight="1" x14ac:dyDescent="0.2">
      <c r="A32" s="383" t="s">
        <v>259</v>
      </c>
      <c r="B32" s="384"/>
      <c r="C32" s="384"/>
      <c r="D32" s="384"/>
      <c r="E32" s="221">
        <f>SUM(E25:E31)</f>
        <v>12</v>
      </c>
      <c r="F32" s="222">
        <f>SUM(F25:F31)</f>
        <v>24</v>
      </c>
      <c r="G32" s="223"/>
      <c r="H32" s="224"/>
      <c r="I32" s="224">
        <f ca="1">SUM(I25:I31)</f>
        <v>194023.82715561806</v>
      </c>
      <c r="J32" s="224">
        <f ca="1">SUM(J25:J31)</f>
        <v>2328285.9258674164</v>
      </c>
      <c r="K32" s="299">
        <f>SUM(K25:K31)</f>
        <v>22127.446189103273</v>
      </c>
      <c r="M32" s="348">
        <v>175361.38</v>
      </c>
    </row>
    <row r="33" spans="1:254" s="215" customFormat="1" ht="15" customHeight="1" x14ac:dyDescent="0.2">
      <c r="A33" s="307"/>
      <c r="B33" s="308"/>
      <c r="C33" s="308"/>
      <c r="D33" s="308"/>
      <c r="E33" s="308"/>
      <c r="F33" s="308"/>
      <c r="G33" s="308"/>
      <c r="H33" s="308"/>
      <c r="I33" s="308"/>
      <c r="J33" s="309"/>
      <c r="K33" s="310"/>
      <c r="L33" s="225"/>
      <c r="M33" s="351">
        <f>M32*1.0585</f>
        <v>185620.02073000002</v>
      </c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</row>
    <row r="34" spans="1:254" s="215" customFormat="1" ht="18" hidden="1" customHeight="1" x14ac:dyDescent="0.2">
      <c r="A34" s="387" t="s">
        <v>260</v>
      </c>
      <c r="B34" s="387"/>
      <c r="C34" s="387"/>
      <c r="D34" s="387"/>
      <c r="E34" s="387"/>
      <c r="F34" s="387"/>
      <c r="G34" s="387"/>
      <c r="H34" s="387"/>
      <c r="I34" s="387"/>
      <c r="J34" s="226">
        <f ca="1">I32</f>
        <v>194023.82715561806</v>
      </c>
      <c r="K34" s="301">
        <v>162638.72</v>
      </c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</row>
    <row r="35" spans="1:254" s="215" customFormat="1" ht="15" hidden="1" customHeight="1" x14ac:dyDescent="0.2">
      <c r="A35" s="388"/>
      <c r="B35" s="389"/>
      <c r="C35" s="389"/>
      <c r="D35" s="389"/>
      <c r="E35" s="389"/>
      <c r="F35" s="389"/>
      <c r="G35" s="389"/>
      <c r="H35" s="389"/>
      <c r="I35" s="389"/>
      <c r="J35" s="389"/>
      <c r="K35" s="302"/>
    </row>
    <row r="36" spans="1:254" s="215" customFormat="1" ht="5.25" hidden="1" customHeight="1" x14ac:dyDescent="0.2">
      <c r="A36" s="385"/>
      <c r="B36" s="386"/>
      <c r="C36" s="386"/>
      <c r="D36" s="386"/>
      <c r="E36" s="386"/>
      <c r="F36" s="386"/>
      <c r="G36" s="386"/>
      <c r="H36" s="386"/>
      <c r="I36" s="386"/>
      <c r="J36" s="390"/>
      <c r="K36" s="300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</row>
    <row r="37" spans="1:254" s="215" customFormat="1" ht="19.5" hidden="1" customHeight="1" x14ac:dyDescent="0.2">
      <c r="A37" s="387" t="s">
        <v>261</v>
      </c>
      <c r="B37" s="387"/>
      <c r="C37" s="387"/>
      <c r="D37" s="387"/>
      <c r="E37" s="387"/>
      <c r="F37" s="387"/>
      <c r="G37" s="387"/>
      <c r="H37" s="387"/>
      <c r="I37" s="387"/>
      <c r="J37" s="227">
        <v>12</v>
      </c>
      <c r="K37" s="303"/>
    </row>
    <row r="38" spans="1:254" s="215" customFormat="1" ht="5.25" hidden="1" customHeight="1" x14ac:dyDescent="0.2">
      <c r="A38" s="385"/>
      <c r="B38" s="386"/>
      <c r="C38" s="386"/>
      <c r="D38" s="386"/>
      <c r="E38" s="386"/>
      <c r="F38" s="386"/>
      <c r="G38" s="386"/>
      <c r="H38" s="386"/>
      <c r="I38" s="386"/>
      <c r="J38" s="390"/>
      <c r="K38" s="304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</row>
    <row r="39" spans="1:254" s="215" customFormat="1" ht="15" hidden="1" customHeight="1" x14ac:dyDescent="0.2">
      <c r="A39" s="391" t="s">
        <v>262</v>
      </c>
      <c r="B39" s="391"/>
      <c r="C39" s="391"/>
      <c r="D39" s="391"/>
      <c r="E39" s="391"/>
      <c r="F39" s="391"/>
      <c r="G39" s="391"/>
      <c r="H39" s="391"/>
      <c r="I39" s="391"/>
      <c r="J39" s="228">
        <f ca="1">J32</f>
        <v>2328285.9258674164</v>
      </c>
      <c r="K39" s="305"/>
    </row>
    <row r="40" spans="1:254" s="215" customFormat="1" ht="15" hidden="1" customHeight="1" x14ac:dyDescent="0.2">
      <c r="A40" s="388" t="s">
        <v>346</v>
      </c>
      <c r="B40" s="389"/>
      <c r="C40" s="389"/>
      <c r="D40" s="389"/>
      <c r="E40" s="389"/>
      <c r="F40" s="389"/>
      <c r="G40" s="389"/>
      <c r="H40" s="389"/>
      <c r="I40" s="389"/>
      <c r="J40" s="392"/>
      <c r="K40" s="306"/>
    </row>
    <row r="41" spans="1:254" s="215" customFormat="1" ht="9" hidden="1" customHeight="1" x14ac:dyDescent="0.2">
      <c r="A41" s="290"/>
      <c r="B41" s="291"/>
      <c r="C41" s="291"/>
      <c r="D41" s="291"/>
      <c r="E41" s="291"/>
      <c r="F41" s="291"/>
      <c r="G41" s="291"/>
      <c r="H41" s="291"/>
      <c r="I41" s="291"/>
      <c r="J41" s="292"/>
      <c r="K41" s="315"/>
    </row>
    <row r="42" spans="1:254" ht="18" hidden="1" customHeight="1" x14ac:dyDescent="0.2">
      <c r="A42" s="393" t="s">
        <v>193</v>
      </c>
      <c r="B42" s="394"/>
      <c r="C42" s="394"/>
      <c r="D42" s="394"/>
      <c r="E42" s="394"/>
      <c r="F42" s="394"/>
      <c r="G42" s="394"/>
      <c r="H42" s="394"/>
      <c r="I42" s="394"/>
      <c r="J42" s="395"/>
      <c r="K42" s="294">
        <f ca="1">I32*11%</f>
        <v>21342.620987117985</v>
      </c>
    </row>
    <row r="43" spans="1:254" ht="17.100000000000001" hidden="1" customHeight="1" x14ac:dyDescent="0.2">
      <c r="A43" s="375" t="s">
        <v>263</v>
      </c>
      <c r="B43" s="375"/>
      <c r="C43" s="375"/>
      <c r="D43" s="375"/>
      <c r="E43" s="375"/>
      <c r="F43" s="375"/>
      <c r="G43" s="375"/>
      <c r="H43" s="375"/>
      <c r="K43" s="22">
        <f ca="1">I32*5%</f>
        <v>9701.1913577809028</v>
      </c>
    </row>
    <row r="44" spans="1:254" ht="17.100000000000001" hidden="1" customHeight="1" x14ac:dyDescent="0.2">
      <c r="A44" s="375" t="s">
        <v>264</v>
      </c>
      <c r="B44" s="375"/>
      <c r="C44" s="375"/>
      <c r="D44" s="375"/>
      <c r="E44" s="375"/>
      <c r="F44" s="375"/>
      <c r="G44" s="375"/>
      <c r="H44" s="375"/>
      <c r="K44" s="22">
        <f ca="1">I32*3.65%</f>
        <v>7081.8696911800589</v>
      </c>
    </row>
    <row r="45" spans="1:254" ht="17.100000000000001" hidden="1" customHeight="1" x14ac:dyDescent="0.25">
      <c r="A45" s="375" t="s">
        <v>265</v>
      </c>
      <c r="B45" s="375"/>
      <c r="C45" s="375"/>
      <c r="D45" s="375"/>
      <c r="E45" s="229"/>
      <c r="F45" s="229"/>
      <c r="G45" s="229"/>
      <c r="H45" s="376" t="s">
        <v>266</v>
      </c>
      <c r="I45" s="376"/>
      <c r="J45" s="376"/>
      <c r="K45" s="272">
        <f ca="1">I32*5.8%</f>
        <v>11253.381975025846</v>
      </c>
    </row>
    <row r="46" spans="1:254" ht="17.100000000000001" hidden="1" customHeight="1" x14ac:dyDescent="0.25">
      <c r="A46" s="375" t="s">
        <v>194</v>
      </c>
      <c r="B46" s="375"/>
      <c r="C46" s="375"/>
      <c r="D46" s="375"/>
      <c r="E46" s="229"/>
      <c r="F46" s="229"/>
      <c r="G46" s="229"/>
      <c r="H46" s="376" t="s">
        <v>267</v>
      </c>
      <c r="I46" s="376"/>
      <c r="J46" s="376"/>
      <c r="K46" s="319">
        <f>K32</f>
        <v>22127.446189103273</v>
      </c>
    </row>
    <row r="47" spans="1:254" ht="17.100000000000001" hidden="1" customHeight="1" x14ac:dyDescent="0.25">
      <c r="A47" s="375" t="s">
        <v>268</v>
      </c>
      <c r="B47" s="375"/>
      <c r="C47" s="375"/>
      <c r="D47" s="375"/>
      <c r="E47" s="229"/>
      <c r="F47" s="229"/>
      <c r="G47" s="229"/>
      <c r="H47" s="376" t="s">
        <v>269</v>
      </c>
      <c r="I47" s="376"/>
      <c r="J47" s="376"/>
      <c r="K47" s="319">
        <f ca="1">I32-K42-K43-K44-K45-K46</f>
        <v>122517.31695541</v>
      </c>
    </row>
    <row r="48" spans="1:254" ht="17.100000000000001" hidden="1" customHeight="1" thickBot="1" x14ac:dyDescent="0.3">
      <c r="A48" s="375" t="s">
        <v>195</v>
      </c>
      <c r="B48" s="375"/>
      <c r="C48" s="375"/>
      <c r="D48" s="375"/>
      <c r="E48" s="229"/>
      <c r="F48" s="229"/>
      <c r="G48" s="229"/>
      <c r="H48" s="376" t="s">
        <v>270</v>
      </c>
      <c r="I48" s="376"/>
      <c r="J48" s="376"/>
      <c r="K48" s="272"/>
    </row>
    <row r="49" spans="1:13" ht="33.75" hidden="1" customHeight="1" thickBot="1" x14ac:dyDescent="0.25">
      <c r="A49" s="405" t="s">
        <v>271</v>
      </c>
      <c r="B49" s="406"/>
      <c r="C49" s="406"/>
      <c r="D49" s="406"/>
      <c r="E49" s="406"/>
      <c r="F49" s="406"/>
      <c r="G49" s="406"/>
      <c r="H49" s="406"/>
      <c r="I49" s="406"/>
      <c r="J49" s="407"/>
      <c r="K49" s="294"/>
    </row>
    <row r="50" spans="1:13" ht="82.5" hidden="1" customHeight="1" x14ac:dyDescent="0.2">
      <c r="A50" s="408" t="s">
        <v>273</v>
      </c>
      <c r="B50" s="409"/>
      <c r="C50" s="409"/>
      <c r="D50" s="409"/>
      <c r="E50" s="409"/>
      <c r="F50" s="409"/>
      <c r="G50" s="409"/>
      <c r="H50" s="409"/>
      <c r="I50" s="409"/>
      <c r="J50" s="410"/>
      <c r="K50" s="295"/>
    </row>
    <row r="51" spans="1:13" ht="26.25" hidden="1" customHeight="1" x14ac:dyDescent="0.2">
      <c r="A51" s="368" t="s">
        <v>316</v>
      </c>
      <c r="B51" s="369"/>
      <c r="C51" s="369"/>
      <c r="D51" s="369"/>
      <c r="E51" s="369"/>
      <c r="F51" s="369"/>
      <c r="G51" s="369"/>
      <c r="H51" s="369"/>
      <c r="I51" s="369"/>
      <c r="J51" s="370"/>
      <c r="K51" s="208"/>
    </row>
    <row r="52" spans="1:13" ht="25.5" hidden="1" customHeight="1" x14ac:dyDescent="0.2">
      <c r="A52" s="368" t="s">
        <v>359</v>
      </c>
      <c r="B52" s="369"/>
      <c r="C52" s="369"/>
      <c r="D52" s="369"/>
      <c r="E52" s="369"/>
      <c r="F52" s="369"/>
      <c r="G52" s="369"/>
      <c r="H52" s="369"/>
      <c r="I52" s="369"/>
      <c r="J52" s="370"/>
      <c r="K52" s="208"/>
    </row>
    <row r="53" spans="1:13" ht="39" hidden="1" customHeight="1" x14ac:dyDescent="0.2">
      <c r="A53" s="368" t="s">
        <v>318</v>
      </c>
      <c r="B53" s="369"/>
      <c r="C53" s="369"/>
      <c r="D53" s="369"/>
      <c r="E53" s="369"/>
      <c r="F53" s="369"/>
      <c r="G53" s="369"/>
      <c r="H53" s="369"/>
      <c r="I53" s="369"/>
      <c r="J53" s="370"/>
      <c r="K53" s="208"/>
    </row>
    <row r="54" spans="1:13" ht="27.75" hidden="1" customHeight="1" x14ac:dyDescent="0.2">
      <c r="A54" s="368" t="s">
        <v>319</v>
      </c>
      <c r="B54" s="369"/>
      <c r="C54" s="369"/>
      <c r="D54" s="369"/>
      <c r="E54" s="369"/>
      <c r="F54" s="369"/>
      <c r="G54" s="369"/>
      <c r="H54" s="369"/>
      <c r="I54" s="369"/>
      <c r="J54" s="370"/>
      <c r="K54" s="208"/>
    </row>
    <row r="55" spans="1:13" ht="15.75" hidden="1" x14ac:dyDescent="0.2">
      <c r="A55" s="371"/>
      <c r="B55" s="372"/>
      <c r="C55" s="372"/>
      <c r="D55" s="372"/>
      <c r="E55" s="372"/>
      <c r="F55" s="372"/>
      <c r="G55" s="210"/>
      <c r="I55" s="209"/>
      <c r="J55" s="231"/>
      <c r="K55" s="209"/>
    </row>
    <row r="56" spans="1:13" ht="15.75" hidden="1" x14ac:dyDescent="0.2">
      <c r="A56" s="373"/>
      <c r="B56" s="374"/>
      <c r="C56" s="374"/>
      <c r="D56" s="374"/>
      <c r="E56" s="374"/>
      <c r="F56" s="374"/>
      <c r="G56" s="374"/>
      <c r="H56" s="374"/>
      <c r="I56" s="209"/>
      <c r="J56" s="231"/>
      <c r="K56" s="209"/>
    </row>
    <row r="57" spans="1:13" ht="15.75" hidden="1" x14ac:dyDescent="0.2">
      <c r="A57" s="373"/>
      <c r="B57" s="374"/>
      <c r="C57" s="374"/>
      <c r="D57" s="374"/>
      <c r="E57" s="374"/>
      <c r="F57" s="374"/>
      <c r="G57" s="374"/>
      <c r="H57" s="374"/>
      <c r="I57" s="209"/>
      <c r="J57" s="231"/>
      <c r="K57" s="209"/>
    </row>
    <row r="58" spans="1:13" ht="15.75" hidden="1" x14ac:dyDescent="0.2">
      <c r="A58" s="373"/>
      <c r="B58" s="374"/>
      <c r="C58" s="374"/>
      <c r="D58" s="374"/>
      <c r="E58" s="374"/>
      <c r="F58" s="374"/>
      <c r="G58" s="374"/>
      <c r="H58" s="374"/>
      <c r="I58" s="209"/>
      <c r="J58" s="231"/>
      <c r="K58" s="209"/>
    </row>
    <row r="59" spans="1:13" ht="15.75" hidden="1" x14ac:dyDescent="0.2">
      <c r="A59" s="373"/>
      <c r="B59" s="374"/>
      <c r="C59" s="374"/>
      <c r="D59" s="374"/>
      <c r="E59" s="374"/>
      <c r="F59" s="374"/>
      <c r="G59" s="374"/>
      <c r="H59" s="374"/>
      <c r="I59" s="209"/>
      <c r="J59" s="231"/>
      <c r="K59" s="209"/>
    </row>
    <row r="60" spans="1:13" ht="15.75" hidden="1" x14ac:dyDescent="0.2">
      <c r="A60" s="232"/>
      <c r="B60" s="233"/>
      <c r="C60" s="233"/>
      <c r="D60" s="233"/>
      <c r="E60" s="233"/>
      <c r="F60" s="233"/>
      <c r="G60" s="233"/>
      <c r="H60" s="234"/>
      <c r="I60" s="233"/>
      <c r="J60" s="235"/>
      <c r="K60" s="209"/>
    </row>
    <row r="61" spans="1:13" ht="15.75" hidden="1" x14ac:dyDescent="0.2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3" x14ac:dyDescent="0.2">
      <c r="M62" s="349"/>
    </row>
    <row r="63" spans="1:13" x14ac:dyDescent="0.2">
      <c r="M63" s="350"/>
    </row>
  </sheetData>
  <mergeCells count="49">
    <mergeCell ref="A55:F55"/>
    <mergeCell ref="A56:H59"/>
    <mergeCell ref="A49:J49"/>
    <mergeCell ref="A50:J50"/>
    <mergeCell ref="A51:J51"/>
    <mergeCell ref="A52:J52"/>
    <mergeCell ref="A53:J53"/>
    <mergeCell ref="A54:J54"/>
    <mergeCell ref="A46:D46"/>
    <mergeCell ref="H46:J46"/>
    <mergeCell ref="A47:D47"/>
    <mergeCell ref="H47:J47"/>
    <mergeCell ref="A48:D48"/>
    <mergeCell ref="H48:J48"/>
    <mergeCell ref="A40:J40"/>
    <mergeCell ref="A42:J42"/>
    <mergeCell ref="A43:H43"/>
    <mergeCell ref="A44:H44"/>
    <mergeCell ref="A45:D45"/>
    <mergeCell ref="H45:J45"/>
    <mergeCell ref="A39:I39"/>
    <mergeCell ref="A21:J21"/>
    <mergeCell ref="A22:J22"/>
    <mergeCell ref="A25:A31"/>
    <mergeCell ref="A32:D32"/>
    <mergeCell ref="A34:I34"/>
    <mergeCell ref="A35:J35"/>
    <mergeCell ref="A36:J36"/>
    <mergeCell ref="A37:I37"/>
    <mergeCell ref="A38:J38"/>
    <mergeCell ref="A23:K23"/>
    <mergeCell ref="A20:J20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J18"/>
    <mergeCell ref="A19:J19"/>
    <mergeCell ref="A10:J10"/>
    <mergeCell ref="C2:J2"/>
    <mergeCell ref="A5:H5"/>
    <mergeCell ref="A6:H6"/>
    <mergeCell ref="A7:H7"/>
    <mergeCell ref="A9:J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horizontalDpi="360" verticalDpi="360" r:id="rId1"/>
  <rowBreaks count="1" manualBreakCount="1">
    <brk id="48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F4A35-DC30-43FD-99B1-A5049493EDB6}">
  <dimension ref="A1:IQ38"/>
  <sheetViews>
    <sheetView showGridLines="0" tabSelected="1" view="pageBreakPreview" topLeftCell="A24" zoomScale="112" zoomScaleNormal="100" zoomScaleSheetLayoutView="112" workbookViewId="0">
      <selection activeCell="A33" sqref="A33:I33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0.5703125" style="22" customWidth="1"/>
    <col min="6" max="6" width="9.5703125" style="22" customWidth="1"/>
    <col min="7" max="7" width="16.42578125" style="22" customWidth="1"/>
    <col min="8" max="8" width="15.28515625" style="22" customWidth="1"/>
    <col min="9" max="9" width="16.42578125" style="22" customWidth="1"/>
    <col min="10" max="10" width="13.28515625" style="22" customWidth="1"/>
    <col min="11" max="242" width="9.140625" style="22"/>
    <col min="243" max="243" width="3.28515625" style="22" customWidth="1"/>
    <col min="244" max="244" width="29" style="22" customWidth="1"/>
    <col min="245" max="245" width="14" style="22" customWidth="1"/>
    <col min="246" max="246" width="11.28515625" style="22" customWidth="1"/>
    <col min="247" max="247" width="16.7109375" style="22" customWidth="1"/>
    <col min="248" max="248" width="8.85546875" style="22" customWidth="1"/>
    <col min="249" max="249" width="29" style="22" customWidth="1"/>
    <col min="250" max="498" width="9.140625" style="22"/>
    <col min="499" max="499" width="3.28515625" style="22" customWidth="1"/>
    <col min="500" max="500" width="29" style="22" customWidth="1"/>
    <col min="501" max="501" width="14" style="22" customWidth="1"/>
    <col min="502" max="502" width="11.28515625" style="22" customWidth="1"/>
    <col min="503" max="503" width="16.7109375" style="22" customWidth="1"/>
    <col min="504" max="504" width="8.85546875" style="22" customWidth="1"/>
    <col min="505" max="505" width="29" style="22" customWidth="1"/>
    <col min="506" max="754" width="9.140625" style="22"/>
    <col min="755" max="755" width="3.28515625" style="22" customWidth="1"/>
    <col min="756" max="756" width="29" style="22" customWidth="1"/>
    <col min="757" max="757" width="14" style="22" customWidth="1"/>
    <col min="758" max="758" width="11.28515625" style="22" customWidth="1"/>
    <col min="759" max="759" width="16.7109375" style="22" customWidth="1"/>
    <col min="760" max="760" width="8.85546875" style="22" customWidth="1"/>
    <col min="761" max="761" width="29" style="22" customWidth="1"/>
    <col min="762" max="1010" width="9.140625" style="22"/>
    <col min="1011" max="1011" width="3.28515625" style="22" customWidth="1"/>
    <col min="1012" max="1012" width="29" style="22" customWidth="1"/>
    <col min="1013" max="1013" width="14" style="22" customWidth="1"/>
    <col min="1014" max="1014" width="11.28515625" style="22" customWidth="1"/>
    <col min="1015" max="1015" width="16.7109375" style="22" customWidth="1"/>
    <col min="1016" max="1016" width="8.85546875" style="22" customWidth="1"/>
    <col min="1017" max="1017" width="29" style="22" customWidth="1"/>
    <col min="1018" max="1266" width="9.140625" style="22"/>
    <col min="1267" max="1267" width="3.28515625" style="22" customWidth="1"/>
    <col min="1268" max="1268" width="29" style="22" customWidth="1"/>
    <col min="1269" max="1269" width="14" style="22" customWidth="1"/>
    <col min="1270" max="1270" width="11.28515625" style="22" customWidth="1"/>
    <col min="1271" max="1271" width="16.7109375" style="22" customWidth="1"/>
    <col min="1272" max="1272" width="8.85546875" style="22" customWidth="1"/>
    <col min="1273" max="1273" width="29" style="22" customWidth="1"/>
    <col min="1274" max="1522" width="9.140625" style="22"/>
    <col min="1523" max="1523" width="3.28515625" style="22" customWidth="1"/>
    <col min="1524" max="1524" width="29" style="22" customWidth="1"/>
    <col min="1525" max="1525" width="14" style="22" customWidth="1"/>
    <col min="1526" max="1526" width="11.28515625" style="22" customWidth="1"/>
    <col min="1527" max="1527" width="16.7109375" style="22" customWidth="1"/>
    <col min="1528" max="1528" width="8.85546875" style="22" customWidth="1"/>
    <col min="1529" max="1529" width="29" style="22" customWidth="1"/>
    <col min="1530" max="1778" width="9.140625" style="22"/>
    <col min="1779" max="1779" width="3.28515625" style="22" customWidth="1"/>
    <col min="1780" max="1780" width="29" style="22" customWidth="1"/>
    <col min="1781" max="1781" width="14" style="22" customWidth="1"/>
    <col min="1782" max="1782" width="11.28515625" style="22" customWidth="1"/>
    <col min="1783" max="1783" width="16.7109375" style="22" customWidth="1"/>
    <col min="1784" max="1784" width="8.85546875" style="22" customWidth="1"/>
    <col min="1785" max="1785" width="29" style="22" customWidth="1"/>
    <col min="1786" max="2034" width="9.140625" style="22"/>
    <col min="2035" max="2035" width="3.28515625" style="22" customWidth="1"/>
    <col min="2036" max="2036" width="29" style="22" customWidth="1"/>
    <col min="2037" max="2037" width="14" style="22" customWidth="1"/>
    <col min="2038" max="2038" width="11.28515625" style="22" customWidth="1"/>
    <col min="2039" max="2039" width="16.7109375" style="22" customWidth="1"/>
    <col min="2040" max="2040" width="8.85546875" style="22" customWidth="1"/>
    <col min="2041" max="2041" width="29" style="22" customWidth="1"/>
    <col min="2042" max="2290" width="9.140625" style="22"/>
    <col min="2291" max="2291" width="3.28515625" style="22" customWidth="1"/>
    <col min="2292" max="2292" width="29" style="22" customWidth="1"/>
    <col min="2293" max="2293" width="14" style="22" customWidth="1"/>
    <col min="2294" max="2294" width="11.28515625" style="22" customWidth="1"/>
    <col min="2295" max="2295" width="16.7109375" style="22" customWidth="1"/>
    <col min="2296" max="2296" width="8.85546875" style="22" customWidth="1"/>
    <col min="2297" max="2297" width="29" style="22" customWidth="1"/>
    <col min="2298" max="2546" width="9.140625" style="22"/>
    <col min="2547" max="2547" width="3.28515625" style="22" customWidth="1"/>
    <col min="2548" max="2548" width="29" style="22" customWidth="1"/>
    <col min="2549" max="2549" width="14" style="22" customWidth="1"/>
    <col min="2550" max="2550" width="11.28515625" style="22" customWidth="1"/>
    <col min="2551" max="2551" width="16.7109375" style="22" customWidth="1"/>
    <col min="2552" max="2552" width="8.85546875" style="22" customWidth="1"/>
    <col min="2553" max="2553" width="29" style="22" customWidth="1"/>
    <col min="2554" max="2802" width="9.140625" style="22"/>
    <col min="2803" max="2803" width="3.28515625" style="22" customWidth="1"/>
    <col min="2804" max="2804" width="29" style="22" customWidth="1"/>
    <col min="2805" max="2805" width="14" style="22" customWidth="1"/>
    <col min="2806" max="2806" width="11.28515625" style="22" customWidth="1"/>
    <col min="2807" max="2807" width="16.7109375" style="22" customWidth="1"/>
    <col min="2808" max="2808" width="8.85546875" style="22" customWidth="1"/>
    <col min="2809" max="2809" width="29" style="22" customWidth="1"/>
    <col min="2810" max="3058" width="9.140625" style="22"/>
    <col min="3059" max="3059" width="3.28515625" style="22" customWidth="1"/>
    <col min="3060" max="3060" width="29" style="22" customWidth="1"/>
    <col min="3061" max="3061" width="14" style="22" customWidth="1"/>
    <col min="3062" max="3062" width="11.28515625" style="22" customWidth="1"/>
    <col min="3063" max="3063" width="16.7109375" style="22" customWidth="1"/>
    <col min="3064" max="3064" width="8.85546875" style="22" customWidth="1"/>
    <col min="3065" max="3065" width="29" style="22" customWidth="1"/>
    <col min="3066" max="3314" width="9.140625" style="22"/>
    <col min="3315" max="3315" width="3.28515625" style="22" customWidth="1"/>
    <col min="3316" max="3316" width="29" style="22" customWidth="1"/>
    <col min="3317" max="3317" width="14" style="22" customWidth="1"/>
    <col min="3318" max="3318" width="11.28515625" style="22" customWidth="1"/>
    <col min="3319" max="3319" width="16.7109375" style="22" customWidth="1"/>
    <col min="3320" max="3320" width="8.85546875" style="22" customWidth="1"/>
    <col min="3321" max="3321" width="29" style="22" customWidth="1"/>
    <col min="3322" max="3570" width="9.140625" style="22"/>
    <col min="3571" max="3571" width="3.28515625" style="22" customWidth="1"/>
    <col min="3572" max="3572" width="29" style="22" customWidth="1"/>
    <col min="3573" max="3573" width="14" style="22" customWidth="1"/>
    <col min="3574" max="3574" width="11.28515625" style="22" customWidth="1"/>
    <col min="3575" max="3575" width="16.7109375" style="22" customWidth="1"/>
    <col min="3576" max="3576" width="8.85546875" style="22" customWidth="1"/>
    <col min="3577" max="3577" width="29" style="22" customWidth="1"/>
    <col min="3578" max="3826" width="9.140625" style="22"/>
    <col min="3827" max="3827" width="3.28515625" style="22" customWidth="1"/>
    <col min="3828" max="3828" width="29" style="22" customWidth="1"/>
    <col min="3829" max="3829" width="14" style="22" customWidth="1"/>
    <col min="3830" max="3830" width="11.28515625" style="22" customWidth="1"/>
    <col min="3831" max="3831" width="16.7109375" style="22" customWidth="1"/>
    <col min="3832" max="3832" width="8.85546875" style="22" customWidth="1"/>
    <col min="3833" max="3833" width="29" style="22" customWidth="1"/>
    <col min="3834" max="4082" width="9.140625" style="22"/>
    <col min="4083" max="4083" width="3.28515625" style="22" customWidth="1"/>
    <col min="4084" max="4084" width="29" style="22" customWidth="1"/>
    <col min="4085" max="4085" width="14" style="22" customWidth="1"/>
    <col min="4086" max="4086" width="11.28515625" style="22" customWidth="1"/>
    <col min="4087" max="4087" width="16.7109375" style="22" customWidth="1"/>
    <col min="4088" max="4088" width="8.85546875" style="22" customWidth="1"/>
    <col min="4089" max="4089" width="29" style="22" customWidth="1"/>
    <col min="4090" max="4338" width="9.140625" style="22"/>
    <col min="4339" max="4339" width="3.28515625" style="22" customWidth="1"/>
    <col min="4340" max="4340" width="29" style="22" customWidth="1"/>
    <col min="4341" max="4341" width="14" style="22" customWidth="1"/>
    <col min="4342" max="4342" width="11.28515625" style="22" customWidth="1"/>
    <col min="4343" max="4343" width="16.7109375" style="22" customWidth="1"/>
    <col min="4344" max="4344" width="8.85546875" style="22" customWidth="1"/>
    <col min="4345" max="4345" width="29" style="22" customWidth="1"/>
    <col min="4346" max="4594" width="9.140625" style="22"/>
    <col min="4595" max="4595" width="3.28515625" style="22" customWidth="1"/>
    <col min="4596" max="4596" width="29" style="22" customWidth="1"/>
    <col min="4597" max="4597" width="14" style="22" customWidth="1"/>
    <col min="4598" max="4598" width="11.28515625" style="22" customWidth="1"/>
    <col min="4599" max="4599" width="16.7109375" style="22" customWidth="1"/>
    <col min="4600" max="4600" width="8.85546875" style="22" customWidth="1"/>
    <col min="4601" max="4601" width="29" style="22" customWidth="1"/>
    <col min="4602" max="4850" width="9.140625" style="22"/>
    <col min="4851" max="4851" width="3.28515625" style="22" customWidth="1"/>
    <col min="4852" max="4852" width="29" style="22" customWidth="1"/>
    <col min="4853" max="4853" width="14" style="22" customWidth="1"/>
    <col min="4854" max="4854" width="11.28515625" style="22" customWidth="1"/>
    <col min="4855" max="4855" width="16.7109375" style="22" customWidth="1"/>
    <col min="4856" max="4856" width="8.85546875" style="22" customWidth="1"/>
    <col min="4857" max="4857" width="29" style="22" customWidth="1"/>
    <col min="4858" max="5106" width="9.140625" style="22"/>
    <col min="5107" max="5107" width="3.28515625" style="22" customWidth="1"/>
    <col min="5108" max="5108" width="29" style="22" customWidth="1"/>
    <col min="5109" max="5109" width="14" style="22" customWidth="1"/>
    <col min="5110" max="5110" width="11.28515625" style="22" customWidth="1"/>
    <col min="5111" max="5111" width="16.7109375" style="22" customWidth="1"/>
    <col min="5112" max="5112" width="8.85546875" style="22" customWidth="1"/>
    <col min="5113" max="5113" width="29" style="22" customWidth="1"/>
    <col min="5114" max="5362" width="9.140625" style="22"/>
    <col min="5363" max="5363" width="3.28515625" style="22" customWidth="1"/>
    <col min="5364" max="5364" width="29" style="22" customWidth="1"/>
    <col min="5365" max="5365" width="14" style="22" customWidth="1"/>
    <col min="5366" max="5366" width="11.28515625" style="22" customWidth="1"/>
    <col min="5367" max="5367" width="16.7109375" style="22" customWidth="1"/>
    <col min="5368" max="5368" width="8.85546875" style="22" customWidth="1"/>
    <col min="5369" max="5369" width="29" style="22" customWidth="1"/>
    <col min="5370" max="5618" width="9.140625" style="22"/>
    <col min="5619" max="5619" width="3.28515625" style="22" customWidth="1"/>
    <col min="5620" max="5620" width="29" style="22" customWidth="1"/>
    <col min="5621" max="5621" width="14" style="22" customWidth="1"/>
    <col min="5622" max="5622" width="11.28515625" style="22" customWidth="1"/>
    <col min="5623" max="5623" width="16.7109375" style="22" customWidth="1"/>
    <col min="5624" max="5624" width="8.85546875" style="22" customWidth="1"/>
    <col min="5625" max="5625" width="29" style="22" customWidth="1"/>
    <col min="5626" max="5874" width="9.140625" style="22"/>
    <col min="5875" max="5875" width="3.28515625" style="22" customWidth="1"/>
    <col min="5876" max="5876" width="29" style="22" customWidth="1"/>
    <col min="5877" max="5877" width="14" style="22" customWidth="1"/>
    <col min="5878" max="5878" width="11.28515625" style="22" customWidth="1"/>
    <col min="5879" max="5879" width="16.7109375" style="22" customWidth="1"/>
    <col min="5880" max="5880" width="8.85546875" style="22" customWidth="1"/>
    <col min="5881" max="5881" width="29" style="22" customWidth="1"/>
    <col min="5882" max="6130" width="9.140625" style="22"/>
    <col min="6131" max="6131" width="3.28515625" style="22" customWidth="1"/>
    <col min="6132" max="6132" width="29" style="22" customWidth="1"/>
    <col min="6133" max="6133" width="14" style="22" customWidth="1"/>
    <col min="6134" max="6134" width="11.28515625" style="22" customWidth="1"/>
    <col min="6135" max="6135" width="16.7109375" style="22" customWidth="1"/>
    <col min="6136" max="6136" width="8.85546875" style="22" customWidth="1"/>
    <col min="6137" max="6137" width="29" style="22" customWidth="1"/>
    <col min="6138" max="6386" width="9.140625" style="22"/>
    <col min="6387" max="6387" width="3.28515625" style="22" customWidth="1"/>
    <col min="6388" max="6388" width="29" style="22" customWidth="1"/>
    <col min="6389" max="6389" width="14" style="22" customWidth="1"/>
    <col min="6390" max="6390" width="11.28515625" style="22" customWidth="1"/>
    <col min="6391" max="6391" width="16.7109375" style="22" customWidth="1"/>
    <col min="6392" max="6392" width="8.85546875" style="22" customWidth="1"/>
    <col min="6393" max="6393" width="29" style="22" customWidth="1"/>
    <col min="6394" max="6642" width="9.140625" style="22"/>
    <col min="6643" max="6643" width="3.28515625" style="22" customWidth="1"/>
    <col min="6644" max="6644" width="29" style="22" customWidth="1"/>
    <col min="6645" max="6645" width="14" style="22" customWidth="1"/>
    <col min="6646" max="6646" width="11.28515625" style="22" customWidth="1"/>
    <col min="6647" max="6647" width="16.7109375" style="22" customWidth="1"/>
    <col min="6648" max="6648" width="8.85546875" style="22" customWidth="1"/>
    <col min="6649" max="6649" width="29" style="22" customWidth="1"/>
    <col min="6650" max="6898" width="9.140625" style="22"/>
    <col min="6899" max="6899" width="3.28515625" style="22" customWidth="1"/>
    <col min="6900" max="6900" width="29" style="22" customWidth="1"/>
    <col min="6901" max="6901" width="14" style="22" customWidth="1"/>
    <col min="6902" max="6902" width="11.28515625" style="22" customWidth="1"/>
    <col min="6903" max="6903" width="16.7109375" style="22" customWidth="1"/>
    <col min="6904" max="6904" width="8.85546875" style="22" customWidth="1"/>
    <col min="6905" max="6905" width="29" style="22" customWidth="1"/>
    <col min="6906" max="7154" width="9.140625" style="22"/>
    <col min="7155" max="7155" width="3.28515625" style="22" customWidth="1"/>
    <col min="7156" max="7156" width="29" style="22" customWidth="1"/>
    <col min="7157" max="7157" width="14" style="22" customWidth="1"/>
    <col min="7158" max="7158" width="11.28515625" style="22" customWidth="1"/>
    <col min="7159" max="7159" width="16.7109375" style="22" customWidth="1"/>
    <col min="7160" max="7160" width="8.85546875" style="22" customWidth="1"/>
    <col min="7161" max="7161" width="29" style="22" customWidth="1"/>
    <col min="7162" max="7410" width="9.140625" style="22"/>
    <col min="7411" max="7411" width="3.28515625" style="22" customWidth="1"/>
    <col min="7412" max="7412" width="29" style="22" customWidth="1"/>
    <col min="7413" max="7413" width="14" style="22" customWidth="1"/>
    <col min="7414" max="7414" width="11.28515625" style="22" customWidth="1"/>
    <col min="7415" max="7415" width="16.7109375" style="22" customWidth="1"/>
    <col min="7416" max="7416" width="8.85546875" style="22" customWidth="1"/>
    <col min="7417" max="7417" width="29" style="22" customWidth="1"/>
    <col min="7418" max="7666" width="9.140625" style="22"/>
    <col min="7667" max="7667" width="3.28515625" style="22" customWidth="1"/>
    <col min="7668" max="7668" width="29" style="22" customWidth="1"/>
    <col min="7669" max="7669" width="14" style="22" customWidth="1"/>
    <col min="7670" max="7670" width="11.28515625" style="22" customWidth="1"/>
    <col min="7671" max="7671" width="16.7109375" style="22" customWidth="1"/>
    <col min="7672" max="7672" width="8.85546875" style="22" customWidth="1"/>
    <col min="7673" max="7673" width="29" style="22" customWidth="1"/>
    <col min="7674" max="7922" width="9.140625" style="22"/>
    <col min="7923" max="7923" width="3.28515625" style="22" customWidth="1"/>
    <col min="7924" max="7924" width="29" style="22" customWidth="1"/>
    <col min="7925" max="7925" width="14" style="22" customWidth="1"/>
    <col min="7926" max="7926" width="11.28515625" style="22" customWidth="1"/>
    <col min="7927" max="7927" width="16.7109375" style="22" customWidth="1"/>
    <col min="7928" max="7928" width="8.85546875" style="22" customWidth="1"/>
    <col min="7929" max="7929" width="29" style="22" customWidth="1"/>
    <col min="7930" max="8178" width="9.140625" style="22"/>
    <col min="8179" max="8179" width="3.28515625" style="22" customWidth="1"/>
    <col min="8180" max="8180" width="29" style="22" customWidth="1"/>
    <col min="8181" max="8181" width="14" style="22" customWidth="1"/>
    <col min="8182" max="8182" width="11.28515625" style="22" customWidth="1"/>
    <col min="8183" max="8183" width="16.7109375" style="22" customWidth="1"/>
    <col min="8184" max="8184" width="8.85546875" style="22" customWidth="1"/>
    <col min="8185" max="8185" width="29" style="22" customWidth="1"/>
    <col min="8186" max="8434" width="9.140625" style="22"/>
    <col min="8435" max="8435" width="3.28515625" style="22" customWidth="1"/>
    <col min="8436" max="8436" width="29" style="22" customWidth="1"/>
    <col min="8437" max="8437" width="14" style="22" customWidth="1"/>
    <col min="8438" max="8438" width="11.28515625" style="22" customWidth="1"/>
    <col min="8439" max="8439" width="16.7109375" style="22" customWidth="1"/>
    <col min="8440" max="8440" width="8.85546875" style="22" customWidth="1"/>
    <col min="8441" max="8441" width="29" style="22" customWidth="1"/>
    <col min="8442" max="8690" width="9.140625" style="22"/>
    <col min="8691" max="8691" width="3.28515625" style="22" customWidth="1"/>
    <col min="8692" max="8692" width="29" style="22" customWidth="1"/>
    <col min="8693" max="8693" width="14" style="22" customWidth="1"/>
    <col min="8694" max="8694" width="11.28515625" style="22" customWidth="1"/>
    <col min="8695" max="8695" width="16.7109375" style="22" customWidth="1"/>
    <col min="8696" max="8696" width="8.85546875" style="22" customWidth="1"/>
    <col min="8697" max="8697" width="29" style="22" customWidth="1"/>
    <col min="8698" max="8946" width="9.140625" style="22"/>
    <col min="8947" max="8947" width="3.28515625" style="22" customWidth="1"/>
    <col min="8948" max="8948" width="29" style="22" customWidth="1"/>
    <col min="8949" max="8949" width="14" style="22" customWidth="1"/>
    <col min="8950" max="8950" width="11.28515625" style="22" customWidth="1"/>
    <col min="8951" max="8951" width="16.7109375" style="22" customWidth="1"/>
    <col min="8952" max="8952" width="8.85546875" style="22" customWidth="1"/>
    <col min="8953" max="8953" width="29" style="22" customWidth="1"/>
    <col min="8954" max="9202" width="9.140625" style="22"/>
    <col min="9203" max="9203" width="3.28515625" style="22" customWidth="1"/>
    <col min="9204" max="9204" width="29" style="22" customWidth="1"/>
    <col min="9205" max="9205" width="14" style="22" customWidth="1"/>
    <col min="9206" max="9206" width="11.28515625" style="22" customWidth="1"/>
    <col min="9207" max="9207" width="16.7109375" style="22" customWidth="1"/>
    <col min="9208" max="9208" width="8.85546875" style="22" customWidth="1"/>
    <col min="9209" max="9209" width="29" style="22" customWidth="1"/>
    <col min="9210" max="9458" width="9.140625" style="22"/>
    <col min="9459" max="9459" width="3.28515625" style="22" customWidth="1"/>
    <col min="9460" max="9460" width="29" style="22" customWidth="1"/>
    <col min="9461" max="9461" width="14" style="22" customWidth="1"/>
    <col min="9462" max="9462" width="11.28515625" style="22" customWidth="1"/>
    <col min="9463" max="9463" width="16.7109375" style="22" customWidth="1"/>
    <col min="9464" max="9464" width="8.85546875" style="22" customWidth="1"/>
    <col min="9465" max="9465" width="29" style="22" customWidth="1"/>
    <col min="9466" max="9714" width="9.140625" style="22"/>
    <col min="9715" max="9715" width="3.28515625" style="22" customWidth="1"/>
    <col min="9716" max="9716" width="29" style="22" customWidth="1"/>
    <col min="9717" max="9717" width="14" style="22" customWidth="1"/>
    <col min="9718" max="9718" width="11.28515625" style="22" customWidth="1"/>
    <col min="9719" max="9719" width="16.7109375" style="22" customWidth="1"/>
    <col min="9720" max="9720" width="8.85546875" style="22" customWidth="1"/>
    <col min="9721" max="9721" width="29" style="22" customWidth="1"/>
    <col min="9722" max="9970" width="9.140625" style="22"/>
    <col min="9971" max="9971" width="3.28515625" style="22" customWidth="1"/>
    <col min="9972" max="9972" width="29" style="22" customWidth="1"/>
    <col min="9973" max="9973" width="14" style="22" customWidth="1"/>
    <col min="9974" max="9974" width="11.28515625" style="22" customWidth="1"/>
    <col min="9975" max="9975" width="16.7109375" style="22" customWidth="1"/>
    <col min="9976" max="9976" width="8.85546875" style="22" customWidth="1"/>
    <col min="9977" max="9977" width="29" style="22" customWidth="1"/>
    <col min="9978" max="10226" width="9.140625" style="22"/>
    <col min="10227" max="10227" width="3.28515625" style="22" customWidth="1"/>
    <col min="10228" max="10228" width="29" style="22" customWidth="1"/>
    <col min="10229" max="10229" width="14" style="22" customWidth="1"/>
    <col min="10230" max="10230" width="11.28515625" style="22" customWidth="1"/>
    <col min="10231" max="10231" width="16.7109375" style="22" customWidth="1"/>
    <col min="10232" max="10232" width="8.85546875" style="22" customWidth="1"/>
    <col min="10233" max="10233" width="29" style="22" customWidth="1"/>
    <col min="10234" max="10482" width="9.140625" style="22"/>
    <col min="10483" max="10483" width="3.28515625" style="22" customWidth="1"/>
    <col min="10484" max="10484" width="29" style="22" customWidth="1"/>
    <col min="10485" max="10485" width="14" style="22" customWidth="1"/>
    <col min="10486" max="10486" width="11.28515625" style="22" customWidth="1"/>
    <col min="10487" max="10487" width="16.7109375" style="22" customWidth="1"/>
    <col min="10488" max="10488" width="8.85546875" style="22" customWidth="1"/>
    <col min="10489" max="10489" width="29" style="22" customWidth="1"/>
    <col min="10490" max="10738" width="9.140625" style="22"/>
    <col min="10739" max="10739" width="3.28515625" style="22" customWidth="1"/>
    <col min="10740" max="10740" width="29" style="22" customWidth="1"/>
    <col min="10741" max="10741" width="14" style="22" customWidth="1"/>
    <col min="10742" max="10742" width="11.28515625" style="22" customWidth="1"/>
    <col min="10743" max="10743" width="16.7109375" style="22" customWidth="1"/>
    <col min="10744" max="10744" width="8.85546875" style="22" customWidth="1"/>
    <col min="10745" max="10745" width="29" style="22" customWidth="1"/>
    <col min="10746" max="10994" width="9.140625" style="22"/>
    <col min="10995" max="10995" width="3.28515625" style="22" customWidth="1"/>
    <col min="10996" max="10996" width="29" style="22" customWidth="1"/>
    <col min="10997" max="10997" width="14" style="22" customWidth="1"/>
    <col min="10998" max="10998" width="11.28515625" style="22" customWidth="1"/>
    <col min="10999" max="10999" width="16.7109375" style="22" customWidth="1"/>
    <col min="11000" max="11000" width="8.85546875" style="22" customWidth="1"/>
    <col min="11001" max="11001" width="29" style="22" customWidth="1"/>
    <col min="11002" max="11250" width="9.140625" style="22"/>
    <col min="11251" max="11251" width="3.28515625" style="22" customWidth="1"/>
    <col min="11252" max="11252" width="29" style="22" customWidth="1"/>
    <col min="11253" max="11253" width="14" style="22" customWidth="1"/>
    <col min="11254" max="11254" width="11.28515625" style="22" customWidth="1"/>
    <col min="11255" max="11255" width="16.7109375" style="22" customWidth="1"/>
    <col min="11256" max="11256" width="8.85546875" style="22" customWidth="1"/>
    <col min="11257" max="11257" width="29" style="22" customWidth="1"/>
    <col min="11258" max="11506" width="9.140625" style="22"/>
    <col min="11507" max="11507" width="3.28515625" style="22" customWidth="1"/>
    <col min="11508" max="11508" width="29" style="22" customWidth="1"/>
    <col min="11509" max="11509" width="14" style="22" customWidth="1"/>
    <col min="11510" max="11510" width="11.28515625" style="22" customWidth="1"/>
    <col min="11511" max="11511" width="16.7109375" style="22" customWidth="1"/>
    <col min="11512" max="11512" width="8.85546875" style="22" customWidth="1"/>
    <col min="11513" max="11513" width="29" style="22" customWidth="1"/>
    <col min="11514" max="11762" width="9.140625" style="22"/>
    <col min="11763" max="11763" width="3.28515625" style="22" customWidth="1"/>
    <col min="11764" max="11764" width="29" style="22" customWidth="1"/>
    <col min="11765" max="11765" width="14" style="22" customWidth="1"/>
    <col min="11766" max="11766" width="11.28515625" style="22" customWidth="1"/>
    <col min="11767" max="11767" width="16.7109375" style="22" customWidth="1"/>
    <col min="11768" max="11768" width="8.85546875" style="22" customWidth="1"/>
    <col min="11769" max="11769" width="29" style="22" customWidth="1"/>
    <col min="11770" max="12018" width="9.140625" style="22"/>
    <col min="12019" max="12019" width="3.28515625" style="22" customWidth="1"/>
    <col min="12020" max="12020" width="29" style="22" customWidth="1"/>
    <col min="12021" max="12021" width="14" style="22" customWidth="1"/>
    <col min="12022" max="12022" width="11.28515625" style="22" customWidth="1"/>
    <col min="12023" max="12023" width="16.7109375" style="22" customWidth="1"/>
    <col min="12024" max="12024" width="8.85546875" style="22" customWidth="1"/>
    <col min="12025" max="12025" width="29" style="22" customWidth="1"/>
    <col min="12026" max="12274" width="9.140625" style="22"/>
    <col min="12275" max="12275" width="3.28515625" style="22" customWidth="1"/>
    <col min="12276" max="12276" width="29" style="22" customWidth="1"/>
    <col min="12277" max="12277" width="14" style="22" customWidth="1"/>
    <col min="12278" max="12278" width="11.28515625" style="22" customWidth="1"/>
    <col min="12279" max="12279" width="16.7109375" style="22" customWidth="1"/>
    <col min="12280" max="12280" width="8.85546875" style="22" customWidth="1"/>
    <col min="12281" max="12281" width="29" style="22" customWidth="1"/>
    <col min="12282" max="12530" width="9.140625" style="22"/>
    <col min="12531" max="12531" width="3.28515625" style="22" customWidth="1"/>
    <col min="12532" max="12532" width="29" style="22" customWidth="1"/>
    <col min="12533" max="12533" width="14" style="22" customWidth="1"/>
    <col min="12534" max="12534" width="11.28515625" style="22" customWidth="1"/>
    <col min="12535" max="12535" width="16.7109375" style="22" customWidth="1"/>
    <col min="12536" max="12536" width="8.85546875" style="22" customWidth="1"/>
    <col min="12537" max="12537" width="29" style="22" customWidth="1"/>
    <col min="12538" max="12786" width="9.140625" style="22"/>
    <col min="12787" max="12787" width="3.28515625" style="22" customWidth="1"/>
    <col min="12788" max="12788" width="29" style="22" customWidth="1"/>
    <col min="12789" max="12789" width="14" style="22" customWidth="1"/>
    <col min="12790" max="12790" width="11.28515625" style="22" customWidth="1"/>
    <col min="12791" max="12791" width="16.7109375" style="22" customWidth="1"/>
    <col min="12792" max="12792" width="8.85546875" style="22" customWidth="1"/>
    <col min="12793" max="12793" width="29" style="22" customWidth="1"/>
    <col min="12794" max="13042" width="9.140625" style="22"/>
    <col min="13043" max="13043" width="3.28515625" style="22" customWidth="1"/>
    <col min="13044" max="13044" width="29" style="22" customWidth="1"/>
    <col min="13045" max="13045" width="14" style="22" customWidth="1"/>
    <col min="13046" max="13046" width="11.28515625" style="22" customWidth="1"/>
    <col min="13047" max="13047" width="16.7109375" style="22" customWidth="1"/>
    <col min="13048" max="13048" width="8.85546875" style="22" customWidth="1"/>
    <col min="13049" max="13049" width="29" style="22" customWidth="1"/>
    <col min="13050" max="13298" width="9.140625" style="22"/>
    <col min="13299" max="13299" width="3.28515625" style="22" customWidth="1"/>
    <col min="13300" max="13300" width="29" style="22" customWidth="1"/>
    <col min="13301" max="13301" width="14" style="22" customWidth="1"/>
    <col min="13302" max="13302" width="11.28515625" style="22" customWidth="1"/>
    <col min="13303" max="13303" width="16.7109375" style="22" customWidth="1"/>
    <col min="13304" max="13304" width="8.85546875" style="22" customWidth="1"/>
    <col min="13305" max="13305" width="29" style="22" customWidth="1"/>
    <col min="13306" max="13554" width="9.140625" style="22"/>
    <col min="13555" max="13555" width="3.28515625" style="22" customWidth="1"/>
    <col min="13556" max="13556" width="29" style="22" customWidth="1"/>
    <col min="13557" max="13557" width="14" style="22" customWidth="1"/>
    <col min="13558" max="13558" width="11.28515625" style="22" customWidth="1"/>
    <col min="13559" max="13559" width="16.7109375" style="22" customWidth="1"/>
    <col min="13560" max="13560" width="8.85546875" style="22" customWidth="1"/>
    <col min="13561" max="13561" width="29" style="22" customWidth="1"/>
    <col min="13562" max="13810" width="9.140625" style="22"/>
    <col min="13811" max="13811" width="3.28515625" style="22" customWidth="1"/>
    <col min="13812" max="13812" width="29" style="22" customWidth="1"/>
    <col min="13813" max="13813" width="14" style="22" customWidth="1"/>
    <col min="13814" max="13814" width="11.28515625" style="22" customWidth="1"/>
    <col min="13815" max="13815" width="16.7109375" style="22" customWidth="1"/>
    <col min="13816" max="13816" width="8.85546875" style="22" customWidth="1"/>
    <col min="13817" max="13817" width="29" style="22" customWidth="1"/>
    <col min="13818" max="14066" width="9.140625" style="22"/>
    <col min="14067" max="14067" width="3.28515625" style="22" customWidth="1"/>
    <col min="14068" max="14068" width="29" style="22" customWidth="1"/>
    <col min="14069" max="14069" width="14" style="22" customWidth="1"/>
    <col min="14070" max="14070" width="11.28515625" style="22" customWidth="1"/>
    <col min="14071" max="14071" width="16.7109375" style="22" customWidth="1"/>
    <col min="14072" max="14072" width="8.85546875" style="22" customWidth="1"/>
    <col min="14073" max="14073" width="29" style="22" customWidth="1"/>
    <col min="14074" max="14322" width="9.140625" style="22"/>
    <col min="14323" max="14323" width="3.28515625" style="22" customWidth="1"/>
    <col min="14324" max="14324" width="29" style="22" customWidth="1"/>
    <col min="14325" max="14325" width="14" style="22" customWidth="1"/>
    <col min="14326" max="14326" width="11.28515625" style="22" customWidth="1"/>
    <col min="14327" max="14327" width="16.7109375" style="22" customWidth="1"/>
    <col min="14328" max="14328" width="8.85546875" style="22" customWidth="1"/>
    <col min="14329" max="14329" width="29" style="22" customWidth="1"/>
    <col min="14330" max="14578" width="9.140625" style="22"/>
    <col min="14579" max="14579" width="3.28515625" style="22" customWidth="1"/>
    <col min="14580" max="14580" width="29" style="22" customWidth="1"/>
    <col min="14581" max="14581" width="14" style="22" customWidth="1"/>
    <col min="14582" max="14582" width="11.28515625" style="22" customWidth="1"/>
    <col min="14583" max="14583" width="16.7109375" style="22" customWidth="1"/>
    <col min="14584" max="14584" width="8.85546875" style="22" customWidth="1"/>
    <col min="14585" max="14585" width="29" style="22" customWidth="1"/>
    <col min="14586" max="14834" width="9.140625" style="22"/>
    <col min="14835" max="14835" width="3.28515625" style="22" customWidth="1"/>
    <col min="14836" max="14836" width="29" style="22" customWidth="1"/>
    <col min="14837" max="14837" width="14" style="22" customWidth="1"/>
    <col min="14838" max="14838" width="11.28515625" style="22" customWidth="1"/>
    <col min="14839" max="14839" width="16.7109375" style="22" customWidth="1"/>
    <col min="14840" max="14840" width="8.85546875" style="22" customWidth="1"/>
    <col min="14841" max="14841" width="29" style="22" customWidth="1"/>
    <col min="14842" max="15090" width="9.140625" style="22"/>
    <col min="15091" max="15091" width="3.28515625" style="22" customWidth="1"/>
    <col min="15092" max="15092" width="29" style="22" customWidth="1"/>
    <col min="15093" max="15093" width="14" style="22" customWidth="1"/>
    <col min="15094" max="15094" width="11.28515625" style="22" customWidth="1"/>
    <col min="15095" max="15095" width="16.7109375" style="22" customWidth="1"/>
    <col min="15096" max="15096" width="8.85546875" style="22" customWidth="1"/>
    <col min="15097" max="15097" width="29" style="22" customWidth="1"/>
    <col min="15098" max="15346" width="9.140625" style="22"/>
    <col min="15347" max="15347" width="3.28515625" style="22" customWidth="1"/>
    <col min="15348" max="15348" width="29" style="22" customWidth="1"/>
    <col min="15349" max="15349" width="14" style="22" customWidth="1"/>
    <col min="15350" max="15350" width="11.28515625" style="22" customWidth="1"/>
    <col min="15351" max="15351" width="16.7109375" style="22" customWidth="1"/>
    <col min="15352" max="15352" width="8.85546875" style="22" customWidth="1"/>
    <col min="15353" max="15353" width="29" style="22" customWidth="1"/>
    <col min="15354" max="15602" width="9.140625" style="22"/>
    <col min="15603" max="15603" width="3.28515625" style="22" customWidth="1"/>
    <col min="15604" max="15604" width="29" style="22" customWidth="1"/>
    <col min="15605" max="15605" width="14" style="22" customWidth="1"/>
    <col min="15606" max="15606" width="11.28515625" style="22" customWidth="1"/>
    <col min="15607" max="15607" width="16.7109375" style="22" customWidth="1"/>
    <col min="15608" max="15608" width="8.85546875" style="22" customWidth="1"/>
    <col min="15609" max="15609" width="29" style="22" customWidth="1"/>
    <col min="15610" max="15858" width="9.140625" style="22"/>
    <col min="15859" max="15859" width="3.28515625" style="22" customWidth="1"/>
    <col min="15860" max="15860" width="29" style="22" customWidth="1"/>
    <col min="15861" max="15861" width="14" style="22" customWidth="1"/>
    <col min="15862" max="15862" width="11.28515625" style="22" customWidth="1"/>
    <col min="15863" max="15863" width="16.7109375" style="22" customWidth="1"/>
    <col min="15864" max="15864" width="8.85546875" style="22" customWidth="1"/>
    <col min="15865" max="15865" width="29" style="22" customWidth="1"/>
    <col min="15866" max="16114" width="9.140625" style="22"/>
    <col min="16115" max="16115" width="3.28515625" style="22" customWidth="1"/>
    <col min="16116" max="16116" width="29" style="22" customWidth="1"/>
    <col min="16117" max="16117" width="14" style="22" customWidth="1"/>
    <col min="16118" max="16118" width="11.28515625" style="22" customWidth="1"/>
    <col min="16119" max="16119" width="16.7109375" style="22" customWidth="1"/>
    <col min="16120" max="16120" width="8.85546875" style="22" customWidth="1"/>
    <col min="16121" max="16121" width="29" style="22" customWidth="1"/>
    <col min="16122" max="16384" width="9.140625" style="22"/>
  </cols>
  <sheetData>
    <row r="1" spans="1:242" ht="15.75" x14ac:dyDescent="0.2">
      <c r="C1" s="209"/>
      <c r="D1" s="209"/>
      <c r="E1" s="209"/>
      <c r="F1" s="209"/>
      <c r="G1" s="209"/>
      <c r="H1" s="209"/>
      <c r="I1" s="209"/>
    </row>
    <row r="2" spans="1:242" ht="30.75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</row>
    <row r="3" spans="1:242" ht="15.75" x14ac:dyDescent="0.2">
      <c r="A3" s="210"/>
      <c r="B3" s="210"/>
      <c r="C3" s="209"/>
      <c r="D3" s="209"/>
      <c r="E3" s="210"/>
      <c r="F3" s="210"/>
      <c r="G3" s="210"/>
      <c r="H3" s="209"/>
      <c r="I3" s="209"/>
    </row>
    <row r="4" spans="1:242" ht="2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</row>
    <row r="5" spans="1:242" ht="15.75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</row>
    <row r="6" spans="1:242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</row>
    <row r="7" spans="1:242" ht="15.75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</row>
    <row r="8" spans="1:242" ht="15.75" x14ac:dyDescent="0.2">
      <c r="A8" s="209"/>
      <c r="B8" s="209"/>
      <c r="C8" s="209"/>
      <c r="D8" s="209"/>
      <c r="E8" s="209"/>
      <c r="F8" s="209"/>
      <c r="G8" s="209"/>
      <c r="I8" s="209"/>
    </row>
    <row r="9" spans="1:242" ht="15.75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</row>
    <row r="10" spans="1:242" ht="15.75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</row>
    <row r="11" spans="1:242" ht="15" customHeight="1" x14ac:dyDescent="0.2">
      <c r="A11" s="374"/>
      <c r="B11" s="374"/>
      <c r="C11" s="374"/>
      <c r="D11" s="374"/>
      <c r="E11" s="374"/>
      <c r="F11" s="374"/>
      <c r="G11" s="374"/>
      <c r="H11" s="374"/>
      <c r="I11" s="209"/>
    </row>
    <row r="12" spans="1:242" ht="16.5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</row>
    <row r="13" spans="1:242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</row>
    <row r="14" spans="1:242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</row>
    <row r="15" spans="1:242" ht="44.25" customHeight="1" x14ac:dyDescent="0.2">
      <c r="A15" s="398" t="s">
        <v>254</v>
      </c>
      <c r="B15" s="398"/>
      <c r="C15" s="398"/>
      <c r="D15" s="398"/>
      <c r="E15" s="398"/>
      <c r="F15" s="398"/>
      <c r="G15" s="213"/>
      <c r="I15" s="209"/>
    </row>
    <row r="16" spans="1:242" ht="66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</row>
    <row r="17" spans="1:10" ht="16.5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</row>
    <row r="18" spans="1:10" ht="87.75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</row>
    <row r="19" spans="1:10" ht="16.5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</row>
    <row r="20" spans="1:10" ht="60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</row>
    <row r="21" spans="1:10" ht="16.5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</row>
    <row r="22" spans="1:10" ht="66" customHeight="1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</row>
    <row r="23" spans="1:10" ht="4.5" customHeight="1" x14ac:dyDescent="0.2">
      <c r="A23" s="372"/>
      <c r="B23" s="372"/>
      <c r="C23" s="372"/>
      <c r="D23" s="372"/>
      <c r="E23" s="372"/>
      <c r="F23" s="372"/>
      <c r="G23" s="210"/>
      <c r="H23" s="399"/>
      <c r="I23" s="399"/>
    </row>
    <row r="24" spans="1:10" s="215" customFormat="1" ht="45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109" t="s">
        <v>130</v>
      </c>
    </row>
    <row r="25" spans="1:10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217">
        <v>10</v>
      </c>
      <c r="F25" s="218">
        <f>E25*2</f>
        <v>20</v>
      </c>
      <c r="G25" s="353">
        <f ca="1">'1-DD'!C131</f>
        <v>7515.6509975338686</v>
      </c>
      <c r="H25" s="353">
        <f t="shared" ref="H25:H31" ca="1" si="0">G25*2</f>
        <v>15031.301995067737</v>
      </c>
      <c r="I25" s="353">
        <f t="shared" ref="I25:I30" ca="1" si="1">H25*E25</f>
        <v>150313.01995067738</v>
      </c>
    </row>
    <row r="26" spans="1:10" s="220" customFormat="1" ht="25.5" x14ac:dyDescent="0.2">
      <c r="A26" s="397"/>
      <c r="B26" s="216">
        <v>2</v>
      </c>
      <c r="C26" s="140" t="s">
        <v>305</v>
      </c>
      <c r="D26" s="140" t="s">
        <v>85</v>
      </c>
      <c r="E26" s="217">
        <v>2</v>
      </c>
      <c r="F26" s="218">
        <f t="shared" ref="F26:F31" si="2">E26*2</f>
        <v>4</v>
      </c>
      <c r="G26" s="353">
        <f ca="1">'2-DDM '!C131</f>
        <v>8517.7158971606732</v>
      </c>
      <c r="H26" s="353">
        <f t="shared" ca="1" si="0"/>
        <v>17035.431794321346</v>
      </c>
      <c r="I26" s="353">
        <f t="shared" ca="1" si="1"/>
        <v>34070.863588642693</v>
      </c>
    </row>
    <row r="27" spans="1:10" s="220" customFormat="1" ht="25.5" x14ac:dyDescent="0.2">
      <c r="A27" s="397"/>
      <c r="B27" s="216">
        <v>3</v>
      </c>
      <c r="C27" s="140" t="s">
        <v>306</v>
      </c>
      <c r="D27" s="140" t="s">
        <v>85</v>
      </c>
      <c r="E27" s="217">
        <v>1</v>
      </c>
      <c r="F27" s="218">
        <f t="shared" si="2"/>
        <v>2</v>
      </c>
      <c r="G27" s="353">
        <f ca="1">'3-DDMon'!C131</f>
        <v>7515.6509975338686</v>
      </c>
      <c r="H27" s="353">
        <f t="shared" ca="1" si="0"/>
        <v>15031.301995067737</v>
      </c>
      <c r="I27" s="353">
        <f t="shared" ca="1" si="1"/>
        <v>15031.301995067737</v>
      </c>
    </row>
    <row r="28" spans="1:10" s="220" customFormat="1" ht="25.5" x14ac:dyDescent="0.2">
      <c r="A28" s="397"/>
      <c r="B28" s="216">
        <v>4</v>
      </c>
      <c r="C28" s="140" t="s">
        <v>307</v>
      </c>
      <c r="D28" s="140" t="s">
        <v>84</v>
      </c>
      <c r="E28" s="217">
        <v>10</v>
      </c>
      <c r="F28" s="218">
        <f t="shared" si="2"/>
        <v>20</v>
      </c>
      <c r="G28" s="353">
        <f ca="1">'4-AN'!C131</f>
        <v>8254.7283398611526</v>
      </c>
      <c r="H28" s="353">
        <f t="shared" ca="1" si="0"/>
        <v>16509.456679722305</v>
      </c>
      <c r="I28" s="353">
        <f t="shared" ca="1" si="1"/>
        <v>165094.56679722306</v>
      </c>
    </row>
    <row r="29" spans="1:10" s="220" customFormat="1" ht="25.5" x14ac:dyDescent="0.2">
      <c r="A29" s="397"/>
      <c r="B29" s="216">
        <v>5</v>
      </c>
      <c r="C29" s="140" t="s">
        <v>308</v>
      </c>
      <c r="D29" s="140" t="s">
        <v>85</v>
      </c>
      <c r="E29" s="217">
        <v>2</v>
      </c>
      <c r="F29" s="218">
        <f t="shared" si="2"/>
        <v>4</v>
      </c>
      <c r="G29" s="353">
        <f ca="1">'5-AD'!C131</f>
        <v>7527.3062611718906</v>
      </c>
      <c r="H29" s="353">
        <f t="shared" ca="1" si="0"/>
        <v>15054.612522343781</v>
      </c>
      <c r="I29" s="353">
        <f t="shared" ca="1" si="1"/>
        <v>30109.225044687562</v>
      </c>
    </row>
    <row r="30" spans="1:10" s="220" customFormat="1" ht="25.5" customHeight="1" x14ac:dyDescent="0.2">
      <c r="A30" s="397"/>
      <c r="B30" s="216">
        <v>6</v>
      </c>
      <c r="C30" s="140" t="s">
        <v>309</v>
      </c>
      <c r="D30" s="140" t="s">
        <v>84</v>
      </c>
      <c r="E30" s="217">
        <v>3</v>
      </c>
      <c r="F30" s="218">
        <f t="shared" si="2"/>
        <v>6</v>
      </c>
      <c r="G30" s="353">
        <f ca="1">'6-ANM'!C131</f>
        <v>9343.3638101741108</v>
      </c>
      <c r="H30" s="353">
        <f ca="1">G30*2</f>
        <v>18686.727620348222</v>
      </c>
      <c r="I30" s="353">
        <f t="shared" ca="1" si="1"/>
        <v>56060.182861044668</v>
      </c>
    </row>
    <row r="31" spans="1:10" s="220" customFormat="1" ht="32.25" customHeight="1" x14ac:dyDescent="0.2">
      <c r="A31" s="397"/>
      <c r="B31" s="216">
        <v>7</v>
      </c>
      <c r="C31" s="140" t="s">
        <v>310</v>
      </c>
      <c r="D31" s="140" t="s">
        <v>85</v>
      </c>
      <c r="E31" s="217">
        <v>1</v>
      </c>
      <c r="F31" s="218">
        <f t="shared" si="2"/>
        <v>2</v>
      </c>
      <c r="G31" s="353">
        <f ca="1">'7-ADM '!C131</f>
        <v>8542.0102597222703</v>
      </c>
      <c r="H31" s="353">
        <f t="shared" ca="1" si="0"/>
        <v>17084.020519444541</v>
      </c>
      <c r="I31" s="353">
        <f ca="1">H31</f>
        <v>17084.020519444541</v>
      </c>
    </row>
    <row r="32" spans="1:10" s="215" customFormat="1" ht="15.75" customHeight="1" x14ac:dyDescent="0.2">
      <c r="A32" s="383" t="s">
        <v>259</v>
      </c>
      <c r="B32" s="384"/>
      <c r="C32" s="384"/>
      <c r="D32" s="384"/>
      <c r="E32" s="221">
        <f>SUM(E25:E31)</f>
        <v>29</v>
      </c>
      <c r="F32" s="222">
        <f>SUM(F25:F31)</f>
        <v>58</v>
      </c>
      <c r="G32" s="223"/>
      <c r="H32" s="224"/>
      <c r="I32" s="352">
        <f ca="1">SUM(I25:I31)-0.03</f>
        <v>467763.15075678763</v>
      </c>
      <c r="J32" s="482">
        <v>446355.05</v>
      </c>
    </row>
    <row r="33" spans="1:251" s="215" customFormat="1" ht="12" x14ac:dyDescent="0.2">
      <c r="A33" s="422"/>
      <c r="B33" s="422"/>
      <c r="C33" s="422"/>
      <c r="D33" s="422"/>
      <c r="E33" s="422"/>
      <c r="F33" s="422"/>
      <c r="G33" s="422"/>
      <c r="H33" s="422"/>
      <c r="I33" s="423"/>
      <c r="J33" s="483"/>
    </row>
    <row r="34" spans="1:251" s="215" customFormat="1" ht="5.25" customHeight="1" x14ac:dyDescent="0.2">
      <c r="A34" s="385"/>
      <c r="B34" s="386"/>
      <c r="C34" s="386"/>
      <c r="D34" s="386"/>
      <c r="E34" s="386"/>
      <c r="F34" s="386"/>
      <c r="G34" s="386"/>
      <c r="H34" s="386"/>
      <c r="I34" s="386"/>
      <c r="J34" s="484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</row>
    <row r="35" spans="1:251" x14ac:dyDescent="0.2">
      <c r="G35" s="349">
        <f>'[2]Embrapa Sede'!$I$32</f>
        <v>185160.04426357665</v>
      </c>
      <c r="H35" s="22" t="s">
        <v>376</v>
      </c>
    </row>
    <row r="36" spans="1:251" x14ac:dyDescent="0.2">
      <c r="G36" s="349">
        <f>[3]Cenargem!$I$7</f>
        <v>183171.94930736301</v>
      </c>
      <c r="H36" s="22" t="s">
        <v>377</v>
      </c>
    </row>
    <row r="37" spans="1:251" x14ac:dyDescent="0.2">
      <c r="G37" s="349">
        <f>[4]Resumo!$J$12</f>
        <v>60170.387941492212</v>
      </c>
      <c r="H37" s="22" t="s">
        <v>378</v>
      </c>
    </row>
    <row r="38" spans="1:251" x14ac:dyDescent="0.2">
      <c r="G38" s="349">
        <f>SUM(G35:G37)</f>
        <v>428502.38151243184</v>
      </c>
    </row>
  </sheetData>
  <mergeCells count="26">
    <mergeCell ref="A10:I10"/>
    <mergeCell ref="C2:I2"/>
    <mergeCell ref="A5:H5"/>
    <mergeCell ref="A6:H6"/>
    <mergeCell ref="A7:H7"/>
    <mergeCell ref="A9:I9"/>
    <mergeCell ref="A20:I20"/>
    <mergeCell ref="A11:H11"/>
    <mergeCell ref="A12:I12"/>
    <mergeCell ref="A13:E13"/>
    <mergeCell ref="F13:I13"/>
    <mergeCell ref="A14:D14"/>
    <mergeCell ref="F14:I14"/>
    <mergeCell ref="A15:F15"/>
    <mergeCell ref="A16:I16"/>
    <mergeCell ref="A17:I17"/>
    <mergeCell ref="A18:I18"/>
    <mergeCell ref="A19:I19"/>
    <mergeCell ref="A33:I33"/>
    <mergeCell ref="A34:I34"/>
    <mergeCell ref="A21:I21"/>
    <mergeCell ref="A22:I22"/>
    <mergeCell ref="A23:F23"/>
    <mergeCell ref="H23:I23"/>
    <mergeCell ref="A25:A31"/>
    <mergeCell ref="A32:D3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1" orientation="portrait" horizontalDpi="360" verticalDpi="36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U69"/>
  <sheetViews>
    <sheetView showGridLines="0" view="pageBreakPreview" topLeftCell="B28" zoomScale="112" zoomScaleNormal="100" zoomScaleSheetLayoutView="112" workbookViewId="0">
      <selection activeCell="A35" sqref="A35:K35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0.5703125" style="22" customWidth="1"/>
    <col min="6" max="6" width="9.5703125" style="22" customWidth="1"/>
    <col min="7" max="7" width="16.42578125" style="22" customWidth="1"/>
    <col min="8" max="9" width="15.28515625" style="22" customWidth="1"/>
    <col min="10" max="12" width="16.42578125" style="22" customWidth="1"/>
    <col min="13" max="13" width="11" style="22" bestFit="1" customWidth="1"/>
    <col min="14" max="246" width="9.140625" style="22"/>
    <col min="247" max="247" width="3.28515625" style="22" customWidth="1"/>
    <col min="248" max="248" width="29" style="22" customWidth="1"/>
    <col min="249" max="249" width="14" style="22" customWidth="1"/>
    <col min="250" max="250" width="11.28515625" style="22" customWidth="1"/>
    <col min="251" max="251" width="16.7109375" style="22" customWidth="1"/>
    <col min="252" max="252" width="8.85546875" style="22" customWidth="1"/>
    <col min="253" max="253" width="29" style="22" customWidth="1"/>
    <col min="254" max="502" width="9.140625" style="22"/>
    <col min="503" max="503" width="3.28515625" style="22" customWidth="1"/>
    <col min="504" max="504" width="29" style="22" customWidth="1"/>
    <col min="505" max="505" width="14" style="22" customWidth="1"/>
    <col min="506" max="506" width="11.28515625" style="22" customWidth="1"/>
    <col min="507" max="507" width="16.7109375" style="22" customWidth="1"/>
    <col min="508" max="508" width="8.85546875" style="22" customWidth="1"/>
    <col min="509" max="509" width="29" style="22" customWidth="1"/>
    <col min="510" max="758" width="9.140625" style="22"/>
    <col min="759" max="759" width="3.28515625" style="22" customWidth="1"/>
    <col min="760" max="760" width="29" style="22" customWidth="1"/>
    <col min="761" max="761" width="14" style="22" customWidth="1"/>
    <col min="762" max="762" width="11.28515625" style="22" customWidth="1"/>
    <col min="763" max="763" width="16.7109375" style="22" customWidth="1"/>
    <col min="764" max="764" width="8.85546875" style="22" customWidth="1"/>
    <col min="765" max="765" width="29" style="22" customWidth="1"/>
    <col min="766" max="1014" width="9.140625" style="22"/>
    <col min="1015" max="1015" width="3.28515625" style="22" customWidth="1"/>
    <col min="1016" max="1016" width="29" style="22" customWidth="1"/>
    <col min="1017" max="1017" width="14" style="22" customWidth="1"/>
    <col min="1018" max="1018" width="11.28515625" style="22" customWidth="1"/>
    <col min="1019" max="1019" width="16.7109375" style="22" customWidth="1"/>
    <col min="1020" max="1020" width="8.85546875" style="22" customWidth="1"/>
    <col min="1021" max="1021" width="29" style="22" customWidth="1"/>
    <col min="1022" max="1270" width="9.140625" style="22"/>
    <col min="1271" max="1271" width="3.28515625" style="22" customWidth="1"/>
    <col min="1272" max="1272" width="29" style="22" customWidth="1"/>
    <col min="1273" max="1273" width="14" style="22" customWidth="1"/>
    <col min="1274" max="1274" width="11.28515625" style="22" customWidth="1"/>
    <col min="1275" max="1275" width="16.7109375" style="22" customWidth="1"/>
    <col min="1276" max="1276" width="8.85546875" style="22" customWidth="1"/>
    <col min="1277" max="1277" width="29" style="22" customWidth="1"/>
    <col min="1278" max="1526" width="9.140625" style="22"/>
    <col min="1527" max="1527" width="3.28515625" style="22" customWidth="1"/>
    <col min="1528" max="1528" width="29" style="22" customWidth="1"/>
    <col min="1529" max="1529" width="14" style="22" customWidth="1"/>
    <col min="1530" max="1530" width="11.28515625" style="22" customWidth="1"/>
    <col min="1531" max="1531" width="16.7109375" style="22" customWidth="1"/>
    <col min="1532" max="1532" width="8.85546875" style="22" customWidth="1"/>
    <col min="1533" max="1533" width="29" style="22" customWidth="1"/>
    <col min="1534" max="1782" width="9.140625" style="22"/>
    <col min="1783" max="1783" width="3.28515625" style="22" customWidth="1"/>
    <col min="1784" max="1784" width="29" style="22" customWidth="1"/>
    <col min="1785" max="1785" width="14" style="22" customWidth="1"/>
    <col min="1786" max="1786" width="11.28515625" style="22" customWidth="1"/>
    <col min="1787" max="1787" width="16.7109375" style="22" customWidth="1"/>
    <col min="1788" max="1788" width="8.85546875" style="22" customWidth="1"/>
    <col min="1789" max="1789" width="29" style="22" customWidth="1"/>
    <col min="1790" max="2038" width="9.140625" style="22"/>
    <col min="2039" max="2039" width="3.28515625" style="22" customWidth="1"/>
    <col min="2040" max="2040" width="29" style="22" customWidth="1"/>
    <col min="2041" max="2041" width="14" style="22" customWidth="1"/>
    <col min="2042" max="2042" width="11.28515625" style="22" customWidth="1"/>
    <col min="2043" max="2043" width="16.7109375" style="22" customWidth="1"/>
    <col min="2044" max="2044" width="8.85546875" style="22" customWidth="1"/>
    <col min="2045" max="2045" width="29" style="22" customWidth="1"/>
    <col min="2046" max="2294" width="9.140625" style="22"/>
    <col min="2295" max="2295" width="3.28515625" style="22" customWidth="1"/>
    <col min="2296" max="2296" width="29" style="22" customWidth="1"/>
    <col min="2297" max="2297" width="14" style="22" customWidth="1"/>
    <col min="2298" max="2298" width="11.28515625" style="22" customWidth="1"/>
    <col min="2299" max="2299" width="16.7109375" style="22" customWidth="1"/>
    <col min="2300" max="2300" width="8.85546875" style="22" customWidth="1"/>
    <col min="2301" max="2301" width="29" style="22" customWidth="1"/>
    <col min="2302" max="2550" width="9.140625" style="22"/>
    <col min="2551" max="2551" width="3.28515625" style="22" customWidth="1"/>
    <col min="2552" max="2552" width="29" style="22" customWidth="1"/>
    <col min="2553" max="2553" width="14" style="22" customWidth="1"/>
    <col min="2554" max="2554" width="11.28515625" style="22" customWidth="1"/>
    <col min="2555" max="2555" width="16.7109375" style="22" customWidth="1"/>
    <col min="2556" max="2556" width="8.85546875" style="22" customWidth="1"/>
    <col min="2557" max="2557" width="29" style="22" customWidth="1"/>
    <col min="2558" max="2806" width="9.140625" style="22"/>
    <col min="2807" max="2807" width="3.28515625" style="22" customWidth="1"/>
    <col min="2808" max="2808" width="29" style="22" customWidth="1"/>
    <col min="2809" max="2809" width="14" style="22" customWidth="1"/>
    <col min="2810" max="2810" width="11.28515625" style="22" customWidth="1"/>
    <col min="2811" max="2811" width="16.7109375" style="22" customWidth="1"/>
    <col min="2812" max="2812" width="8.85546875" style="22" customWidth="1"/>
    <col min="2813" max="2813" width="29" style="22" customWidth="1"/>
    <col min="2814" max="3062" width="9.140625" style="22"/>
    <col min="3063" max="3063" width="3.28515625" style="22" customWidth="1"/>
    <col min="3064" max="3064" width="29" style="22" customWidth="1"/>
    <col min="3065" max="3065" width="14" style="22" customWidth="1"/>
    <col min="3066" max="3066" width="11.28515625" style="22" customWidth="1"/>
    <col min="3067" max="3067" width="16.7109375" style="22" customWidth="1"/>
    <col min="3068" max="3068" width="8.85546875" style="22" customWidth="1"/>
    <col min="3069" max="3069" width="29" style="22" customWidth="1"/>
    <col min="3070" max="3318" width="9.140625" style="22"/>
    <col min="3319" max="3319" width="3.28515625" style="22" customWidth="1"/>
    <col min="3320" max="3320" width="29" style="22" customWidth="1"/>
    <col min="3321" max="3321" width="14" style="22" customWidth="1"/>
    <col min="3322" max="3322" width="11.28515625" style="22" customWidth="1"/>
    <col min="3323" max="3323" width="16.7109375" style="22" customWidth="1"/>
    <col min="3324" max="3324" width="8.85546875" style="22" customWidth="1"/>
    <col min="3325" max="3325" width="29" style="22" customWidth="1"/>
    <col min="3326" max="3574" width="9.140625" style="22"/>
    <col min="3575" max="3575" width="3.28515625" style="22" customWidth="1"/>
    <col min="3576" max="3576" width="29" style="22" customWidth="1"/>
    <col min="3577" max="3577" width="14" style="22" customWidth="1"/>
    <col min="3578" max="3578" width="11.28515625" style="22" customWidth="1"/>
    <col min="3579" max="3579" width="16.7109375" style="22" customWidth="1"/>
    <col min="3580" max="3580" width="8.85546875" style="22" customWidth="1"/>
    <col min="3581" max="3581" width="29" style="22" customWidth="1"/>
    <col min="3582" max="3830" width="9.140625" style="22"/>
    <col min="3831" max="3831" width="3.28515625" style="22" customWidth="1"/>
    <col min="3832" max="3832" width="29" style="22" customWidth="1"/>
    <col min="3833" max="3833" width="14" style="22" customWidth="1"/>
    <col min="3834" max="3834" width="11.28515625" style="22" customWidth="1"/>
    <col min="3835" max="3835" width="16.7109375" style="22" customWidth="1"/>
    <col min="3836" max="3836" width="8.85546875" style="22" customWidth="1"/>
    <col min="3837" max="3837" width="29" style="22" customWidth="1"/>
    <col min="3838" max="4086" width="9.140625" style="22"/>
    <col min="4087" max="4087" width="3.28515625" style="22" customWidth="1"/>
    <col min="4088" max="4088" width="29" style="22" customWidth="1"/>
    <col min="4089" max="4089" width="14" style="22" customWidth="1"/>
    <col min="4090" max="4090" width="11.28515625" style="22" customWidth="1"/>
    <col min="4091" max="4091" width="16.7109375" style="22" customWidth="1"/>
    <col min="4092" max="4092" width="8.85546875" style="22" customWidth="1"/>
    <col min="4093" max="4093" width="29" style="22" customWidth="1"/>
    <col min="4094" max="4342" width="9.140625" style="22"/>
    <col min="4343" max="4343" width="3.28515625" style="22" customWidth="1"/>
    <col min="4344" max="4344" width="29" style="22" customWidth="1"/>
    <col min="4345" max="4345" width="14" style="22" customWidth="1"/>
    <col min="4346" max="4346" width="11.28515625" style="22" customWidth="1"/>
    <col min="4347" max="4347" width="16.7109375" style="22" customWidth="1"/>
    <col min="4348" max="4348" width="8.85546875" style="22" customWidth="1"/>
    <col min="4349" max="4349" width="29" style="22" customWidth="1"/>
    <col min="4350" max="4598" width="9.140625" style="22"/>
    <col min="4599" max="4599" width="3.28515625" style="22" customWidth="1"/>
    <col min="4600" max="4600" width="29" style="22" customWidth="1"/>
    <col min="4601" max="4601" width="14" style="22" customWidth="1"/>
    <col min="4602" max="4602" width="11.28515625" style="22" customWidth="1"/>
    <col min="4603" max="4603" width="16.7109375" style="22" customWidth="1"/>
    <col min="4604" max="4604" width="8.85546875" style="22" customWidth="1"/>
    <col min="4605" max="4605" width="29" style="22" customWidth="1"/>
    <col min="4606" max="4854" width="9.140625" style="22"/>
    <col min="4855" max="4855" width="3.28515625" style="22" customWidth="1"/>
    <col min="4856" max="4856" width="29" style="22" customWidth="1"/>
    <col min="4857" max="4857" width="14" style="22" customWidth="1"/>
    <col min="4858" max="4858" width="11.28515625" style="22" customWidth="1"/>
    <col min="4859" max="4859" width="16.7109375" style="22" customWidth="1"/>
    <col min="4860" max="4860" width="8.85546875" style="22" customWidth="1"/>
    <col min="4861" max="4861" width="29" style="22" customWidth="1"/>
    <col min="4862" max="5110" width="9.140625" style="22"/>
    <col min="5111" max="5111" width="3.28515625" style="22" customWidth="1"/>
    <col min="5112" max="5112" width="29" style="22" customWidth="1"/>
    <col min="5113" max="5113" width="14" style="22" customWidth="1"/>
    <col min="5114" max="5114" width="11.28515625" style="22" customWidth="1"/>
    <col min="5115" max="5115" width="16.7109375" style="22" customWidth="1"/>
    <col min="5116" max="5116" width="8.85546875" style="22" customWidth="1"/>
    <col min="5117" max="5117" width="29" style="22" customWidth="1"/>
    <col min="5118" max="5366" width="9.140625" style="22"/>
    <col min="5367" max="5367" width="3.28515625" style="22" customWidth="1"/>
    <col min="5368" max="5368" width="29" style="22" customWidth="1"/>
    <col min="5369" max="5369" width="14" style="22" customWidth="1"/>
    <col min="5370" max="5370" width="11.28515625" style="22" customWidth="1"/>
    <col min="5371" max="5371" width="16.7109375" style="22" customWidth="1"/>
    <col min="5372" max="5372" width="8.85546875" style="22" customWidth="1"/>
    <col min="5373" max="5373" width="29" style="22" customWidth="1"/>
    <col min="5374" max="5622" width="9.140625" style="22"/>
    <col min="5623" max="5623" width="3.28515625" style="22" customWidth="1"/>
    <col min="5624" max="5624" width="29" style="22" customWidth="1"/>
    <col min="5625" max="5625" width="14" style="22" customWidth="1"/>
    <col min="5626" max="5626" width="11.28515625" style="22" customWidth="1"/>
    <col min="5627" max="5627" width="16.7109375" style="22" customWidth="1"/>
    <col min="5628" max="5628" width="8.85546875" style="22" customWidth="1"/>
    <col min="5629" max="5629" width="29" style="22" customWidth="1"/>
    <col min="5630" max="5878" width="9.140625" style="22"/>
    <col min="5879" max="5879" width="3.28515625" style="22" customWidth="1"/>
    <col min="5880" max="5880" width="29" style="22" customWidth="1"/>
    <col min="5881" max="5881" width="14" style="22" customWidth="1"/>
    <col min="5882" max="5882" width="11.28515625" style="22" customWidth="1"/>
    <col min="5883" max="5883" width="16.7109375" style="22" customWidth="1"/>
    <col min="5884" max="5884" width="8.85546875" style="22" customWidth="1"/>
    <col min="5885" max="5885" width="29" style="22" customWidth="1"/>
    <col min="5886" max="6134" width="9.140625" style="22"/>
    <col min="6135" max="6135" width="3.28515625" style="22" customWidth="1"/>
    <col min="6136" max="6136" width="29" style="22" customWidth="1"/>
    <col min="6137" max="6137" width="14" style="22" customWidth="1"/>
    <col min="6138" max="6138" width="11.28515625" style="22" customWidth="1"/>
    <col min="6139" max="6139" width="16.7109375" style="22" customWidth="1"/>
    <col min="6140" max="6140" width="8.85546875" style="22" customWidth="1"/>
    <col min="6141" max="6141" width="29" style="22" customWidth="1"/>
    <col min="6142" max="6390" width="9.140625" style="22"/>
    <col min="6391" max="6391" width="3.28515625" style="22" customWidth="1"/>
    <col min="6392" max="6392" width="29" style="22" customWidth="1"/>
    <col min="6393" max="6393" width="14" style="22" customWidth="1"/>
    <col min="6394" max="6394" width="11.28515625" style="22" customWidth="1"/>
    <col min="6395" max="6395" width="16.7109375" style="22" customWidth="1"/>
    <col min="6396" max="6396" width="8.85546875" style="22" customWidth="1"/>
    <col min="6397" max="6397" width="29" style="22" customWidth="1"/>
    <col min="6398" max="6646" width="9.140625" style="22"/>
    <col min="6647" max="6647" width="3.28515625" style="22" customWidth="1"/>
    <col min="6648" max="6648" width="29" style="22" customWidth="1"/>
    <col min="6649" max="6649" width="14" style="22" customWidth="1"/>
    <col min="6650" max="6650" width="11.28515625" style="22" customWidth="1"/>
    <col min="6651" max="6651" width="16.7109375" style="22" customWidth="1"/>
    <col min="6652" max="6652" width="8.85546875" style="22" customWidth="1"/>
    <col min="6653" max="6653" width="29" style="22" customWidth="1"/>
    <col min="6654" max="6902" width="9.140625" style="22"/>
    <col min="6903" max="6903" width="3.28515625" style="22" customWidth="1"/>
    <col min="6904" max="6904" width="29" style="22" customWidth="1"/>
    <col min="6905" max="6905" width="14" style="22" customWidth="1"/>
    <col min="6906" max="6906" width="11.28515625" style="22" customWidth="1"/>
    <col min="6907" max="6907" width="16.7109375" style="22" customWidth="1"/>
    <col min="6908" max="6908" width="8.85546875" style="22" customWidth="1"/>
    <col min="6909" max="6909" width="29" style="22" customWidth="1"/>
    <col min="6910" max="7158" width="9.140625" style="22"/>
    <col min="7159" max="7159" width="3.28515625" style="22" customWidth="1"/>
    <col min="7160" max="7160" width="29" style="22" customWidth="1"/>
    <col min="7161" max="7161" width="14" style="22" customWidth="1"/>
    <col min="7162" max="7162" width="11.28515625" style="22" customWidth="1"/>
    <col min="7163" max="7163" width="16.7109375" style="22" customWidth="1"/>
    <col min="7164" max="7164" width="8.85546875" style="22" customWidth="1"/>
    <col min="7165" max="7165" width="29" style="22" customWidth="1"/>
    <col min="7166" max="7414" width="9.140625" style="22"/>
    <col min="7415" max="7415" width="3.28515625" style="22" customWidth="1"/>
    <col min="7416" max="7416" width="29" style="22" customWidth="1"/>
    <col min="7417" max="7417" width="14" style="22" customWidth="1"/>
    <col min="7418" max="7418" width="11.28515625" style="22" customWidth="1"/>
    <col min="7419" max="7419" width="16.7109375" style="22" customWidth="1"/>
    <col min="7420" max="7420" width="8.85546875" style="22" customWidth="1"/>
    <col min="7421" max="7421" width="29" style="22" customWidth="1"/>
    <col min="7422" max="7670" width="9.140625" style="22"/>
    <col min="7671" max="7671" width="3.28515625" style="22" customWidth="1"/>
    <col min="7672" max="7672" width="29" style="22" customWidth="1"/>
    <col min="7673" max="7673" width="14" style="22" customWidth="1"/>
    <col min="7674" max="7674" width="11.28515625" style="22" customWidth="1"/>
    <col min="7675" max="7675" width="16.7109375" style="22" customWidth="1"/>
    <col min="7676" max="7676" width="8.85546875" style="22" customWidth="1"/>
    <col min="7677" max="7677" width="29" style="22" customWidth="1"/>
    <col min="7678" max="7926" width="9.140625" style="22"/>
    <col min="7927" max="7927" width="3.28515625" style="22" customWidth="1"/>
    <col min="7928" max="7928" width="29" style="22" customWidth="1"/>
    <col min="7929" max="7929" width="14" style="22" customWidth="1"/>
    <col min="7930" max="7930" width="11.28515625" style="22" customWidth="1"/>
    <col min="7931" max="7931" width="16.7109375" style="22" customWidth="1"/>
    <col min="7932" max="7932" width="8.85546875" style="22" customWidth="1"/>
    <col min="7933" max="7933" width="29" style="22" customWidth="1"/>
    <col min="7934" max="8182" width="9.140625" style="22"/>
    <col min="8183" max="8183" width="3.28515625" style="22" customWidth="1"/>
    <col min="8184" max="8184" width="29" style="22" customWidth="1"/>
    <col min="8185" max="8185" width="14" style="22" customWidth="1"/>
    <col min="8186" max="8186" width="11.28515625" style="22" customWidth="1"/>
    <col min="8187" max="8187" width="16.7109375" style="22" customWidth="1"/>
    <col min="8188" max="8188" width="8.85546875" style="22" customWidth="1"/>
    <col min="8189" max="8189" width="29" style="22" customWidth="1"/>
    <col min="8190" max="8438" width="9.140625" style="22"/>
    <col min="8439" max="8439" width="3.28515625" style="22" customWidth="1"/>
    <col min="8440" max="8440" width="29" style="22" customWidth="1"/>
    <col min="8441" max="8441" width="14" style="22" customWidth="1"/>
    <col min="8442" max="8442" width="11.28515625" style="22" customWidth="1"/>
    <col min="8443" max="8443" width="16.7109375" style="22" customWidth="1"/>
    <col min="8444" max="8444" width="8.85546875" style="22" customWidth="1"/>
    <col min="8445" max="8445" width="29" style="22" customWidth="1"/>
    <col min="8446" max="8694" width="9.140625" style="22"/>
    <col min="8695" max="8695" width="3.28515625" style="22" customWidth="1"/>
    <col min="8696" max="8696" width="29" style="22" customWidth="1"/>
    <col min="8697" max="8697" width="14" style="22" customWidth="1"/>
    <col min="8698" max="8698" width="11.28515625" style="22" customWidth="1"/>
    <col min="8699" max="8699" width="16.7109375" style="22" customWidth="1"/>
    <col min="8700" max="8700" width="8.85546875" style="22" customWidth="1"/>
    <col min="8701" max="8701" width="29" style="22" customWidth="1"/>
    <col min="8702" max="8950" width="9.140625" style="22"/>
    <col min="8951" max="8951" width="3.28515625" style="22" customWidth="1"/>
    <col min="8952" max="8952" width="29" style="22" customWidth="1"/>
    <col min="8953" max="8953" width="14" style="22" customWidth="1"/>
    <col min="8954" max="8954" width="11.28515625" style="22" customWidth="1"/>
    <col min="8955" max="8955" width="16.7109375" style="22" customWidth="1"/>
    <col min="8956" max="8956" width="8.85546875" style="22" customWidth="1"/>
    <col min="8957" max="8957" width="29" style="22" customWidth="1"/>
    <col min="8958" max="9206" width="9.140625" style="22"/>
    <col min="9207" max="9207" width="3.28515625" style="22" customWidth="1"/>
    <col min="9208" max="9208" width="29" style="22" customWidth="1"/>
    <col min="9209" max="9209" width="14" style="22" customWidth="1"/>
    <col min="9210" max="9210" width="11.28515625" style="22" customWidth="1"/>
    <col min="9211" max="9211" width="16.7109375" style="22" customWidth="1"/>
    <col min="9212" max="9212" width="8.85546875" style="22" customWidth="1"/>
    <col min="9213" max="9213" width="29" style="22" customWidth="1"/>
    <col min="9214" max="9462" width="9.140625" style="22"/>
    <col min="9463" max="9463" width="3.28515625" style="22" customWidth="1"/>
    <col min="9464" max="9464" width="29" style="22" customWidth="1"/>
    <col min="9465" max="9465" width="14" style="22" customWidth="1"/>
    <col min="9466" max="9466" width="11.28515625" style="22" customWidth="1"/>
    <col min="9467" max="9467" width="16.7109375" style="22" customWidth="1"/>
    <col min="9468" max="9468" width="8.85546875" style="22" customWidth="1"/>
    <col min="9469" max="9469" width="29" style="22" customWidth="1"/>
    <col min="9470" max="9718" width="9.140625" style="22"/>
    <col min="9719" max="9719" width="3.28515625" style="22" customWidth="1"/>
    <col min="9720" max="9720" width="29" style="22" customWidth="1"/>
    <col min="9721" max="9721" width="14" style="22" customWidth="1"/>
    <col min="9722" max="9722" width="11.28515625" style="22" customWidth="1"/>
    <col min="9723" max="9723" width="16.7109375" style="22" customWidth="1"/>
    <col min="9724" max="9724" width="8.85546875" style="22" customWidth="1"/>
    <col min="9725" max="9725" width="29" style="22" customWidth="1"/>
    <col min="9726" max="9974" width="9.140625" style="22"/>
    <col min="9975" max="9975" width="3.28515625" style="22" customWidth="1"/>
    <col min="9976" max="9976" width="29" style="22" customWidth="1"/>
    <col min="9977" max="9977" width="14" style="22" customWidth="1"/>
    <col min="9978" max="9978" width="11.28515625" style="22" customWidth="1"/>
    <col min="9979" max="9979" width="16.7109375" style="22" customWidth="1"/>
    <col min="9980" max="9980" width="8.85546875" style="22" customWidth="1"/>
    <col min="9981" max="9981" width="29" style="22" customWidth="1"/>
    <col min="9982" max="10230" width="9.140625" style="22"/>
    <col min="10231" max="10231" width="3.28515625" style="22" customWidth="1"/>
    <col min="10232" max="10232" width="29" style="22" customWidth="1"/>
    <col min="10233" max="10233" width="14" style="22" customWidth="1"/>
    <col min="10234" max="10234" width="11.28515625" style="22" customWidth="1"/>
    <col min="10235" max="10235" width="16.7109375" style="22" customWidth="1"/>
    <col min="10236" max="10236" width="8.85546875" style="22" customWidth="1"/>
    <col min="10237" max="10237" width="29" style="22" customWidth="1"/>
    <col min="10238" max="10486" width="9.140625" style="22"/>
    <col min="10487" max="10487" width="3.28515625" style="22" customWidth="1"/>
    <col min="10488" max="10488" width="29" style="22" customWidth="1"/>
    <col min="10489" max="10489" width="14" style="22" customWidth="1"/>
    <col min="10490" max="10490" width="11.28515625" style="22" customWidth="1"/>
    <col min="10491" max="10491" width="16.7109375" style="22" customWidth="1"/>
    <col min="10492" max="10492" width="8.85546875" style="22" customWidth="1"/>
    <col min="10493" max="10493" width="29" style="22" customWidth="1"/>
    <col min="10494" max="10742" width="9.140625" style="22"/>
    <col min="10743" max="10743" width="3.28515625" style="22" customWidth="1"/>
    <col min="10744" max="10744" width="29" style="22" customWidth="1"/>
    <col min="10745" max="10745" width="14" style="22" customWidth="1"/>
    <col min="10746" max="10746" width="11.28515625" style="22" customWidth="1"/>
    <col min="10747" max="10747" width="16.7109375" style="22" customWidth="1"/>
    <col min="10748" max="10748" width="8.85546875" style="22" customWidth="1"/>
    <col min="10749" max="10749" width="29" style="22" customWidth="1"/>
    <col min="10750" max="10998" width="9.140625" style="22"/>
    <col min="10999" max="10999" width="3.28515625" style="22" customWidth="1"/>
    <col min="11000" max="11000" width="29" style="22" customWidth="1"/>
    <col min="11001" max="11001" width="14" style="22" customWidth="1"/>
    <col min="11002" max="11002" width="11.28515625" style="22" customWidth="1"/>
    <col min="11003" max="11003" width="16.7109375" style="22" customWidth="1"/>
    <col min="11004" max="11004" width="8.85546875" style="22" customWidth="1"/>
    <col min="11005" max="11005" width="29" style="22" customWidth="1"/>
    <col min="11006" max="11254" width="9.140625" style="22"/>
    <col min="11255" max="11255" width="3.28515625" style="22" customWidth="1"/>
    <col min="11256" max="11256" width="29" style="22" customWidth="1"/>
    <col min="11257" max="11257" width="14" style="22" customWidth="1"/>
    <col min="11258" max="11258" width="11.28515625" style="22" customWidth="1"/>
    <col min="11259" max="11259" width="16.7109375" style="22" customWidth="1"/>
    <col min="11260" max="11260" width="8.85546875" style="22" customWidth="1"/>
    <col min="11261" max="11261" width="29" style="22" customWidth="1"/>
    <col min="11262" max="11510" width="9.140625" style="22"/>
    <col min="11511" max="11511" width="3.28515625" style="22" customWidth="1"/>
    <col min="11512" max="11512" width="29" style="22" customWidth="1"/>
    <col min="11513" max="11513" width="14" style="22" customWidth="1"/>
    <col min="11514" max="11514" width="11.28515625" style="22" customWidth="1"/>
    <col min="11515" max="11515" width="16.7109375" style="22" customWidth="1"/>
    <col min="11516" max="11516" width="8.85546875" style="22" customWidth="1"/>
    <col min="11517" max="11517" width="29" style="22" customWidth="1"/>
    <col min="11518" max="11766" width="9.140625" style="22"/>
    <col min="11767" max="11767" width="3.28515625" style="22" customWidth="1"/>
    <col min="11768" max="11768" width="29" style="22" customWidth="1"/>
    <col min="11769" max="11769" width="14" style="22" customWidth="1"/>
    <col min="11770" max="11770" width="11.28515625" style="22" customWidth="1"/>
    <col min="11771" max="11771" width="16.7109375" style="22" customWidth="1"/>
    <col min="11772" max="11772" width="8.85546875" style="22" customWidth="1"/>
    <col min="11773" max="11773" width="29" style="22" customWidth="1"/>
    <col min="11774" max="12022" width="9.140625" style="22"/>
    <col min="12023" max="12023" width="3.28515625" style="22" customWidth="1"/>
    <col min="12024" max="12024" width="29" style="22" customWidth="1"/>
    <col min="12025" max="12025" width="14" style="22" customWidth="1"/>
    <col min="12026" max="12026" width="11.28515625" style="22" customWidth="1"/>
    <col min="12027" max="12027" width="16.7109375" style="22" customWidth="1"/>
    <col min="12028" max="12028" width="8.85546875" style="22" customWidth="1"/>
    <col min="12029" max="12029" width="29" style="22" customWidth="1"/>
    <col min="12030" max="12278" width="9.140625" style="22"/>
    <col min="12279" max="12279" width="3.28515625" style="22" customWidth="1"/>
    <col min="12280" max="12280" width="29" style="22" customWidth="1"/>
    <col min="12281" max="12281" width="14" style="22" customWidth="1"/>
    <col min="12282" max="12282" width="11.28515625" style="22" customWidth="1"/>
    <col min="12283" max="12283" width="16.7109375" style="22" customWidth="1"/>
    <col min="12284" max="12284" width="8.85546875" style="22" customWidth="1"/>
    <col min="12285" max="12285" width="29" style="22" customWidth="1"/>
    <col min="12286" max="12534" width="9.140625" style="22"/>
    <col min="12535" max="12535" width="3.28515625" style="22" customWidth="1"/>
    <col min="12536" max="12536" width="29" style="22" customWidth="1"/>
    <col min="12537" max="12537" width="14" style="22" customWidth="1"/>
    <col min="12538" max="12538" width="11.28515625" style="22" customWidth="1"/>
    <col min="12539" max="12539" width="16.7109375" style="22" customWidth="1"/>
    <col min="12540" max="12540" width="8.85546875" style="22" customWidth="1"/>
    <col min="12541" max="12541" width="29" style="22" customWidth="1"/>
    <col min="12542" max="12790" width="9.140625" style="22"/>
    <col min="12791" max="12791" width="3.28515625" style="22" customWidth="1"/>
    <col min="12792" max="12792" width="29" style="22" customWidth="1"/>
    <col min="12793" max="12793" width="14" style="22" customWidth="1"/>
    <col min="12794" max="12794" width="11.28515625" style="22" customWidth="1"/>
    <col min="12795" max="12795" width="16.7109375" style="22" customWidth="1"/>
    <col min="12796" max="12796" width="8.85546875" style="22" customWidth="1"/>
    <col min="12797" max="12797" width="29" style="22" customWidth="1"/>
    <col min="12798" max="13046" width="9.140625" style="22"/>
    <col min="13047" max="13047" width="3.28515625" style="22" customWidth="1"/>
    <col min="13048" max="13048" width="29" style="22" customWidth="1"/>
    <col min="13049" max="13049" width="14" style="22" customWidth="1"/>
    <col min="13050" max="13050" width="11.28515625" style="22" customWidth="1"/>
    <col min="13051" max="13051" width="16.7109375" style="22" customWidth="1"/>
    <col min="13052" max="13052" width="8.85546875" style="22" customWidth="1"/>
    <col min="13053" max="13053" width="29" style="22" customWidth="1"/>
    <col min="13054" max="13302" width="9.140625" style="22"/>
    <col min="13303" max="13303" width="3.28515625" style="22" customWidth="1"/>
    <col min="13304" max="13304" width="29" style="22" customWidth="1"/>
    <col min="13305" max="13305" width="14" style="22" customWidth="1"/>
    <col min="13306" max="13306" width="11.28515625" style="22" customWidth="1"/>
    <col min="13307" max="13307" width="16.7109375" style="22" customWidth="1"/>
    <col min="13308" max="13308" width="8.85546875" style="22" customWidth="1"/>
    <col min="13309" max="13309" width="29" style="22" customWidth="1"/>
    <col min="13310" max="13558" width="9.140625" style="22"/>
    <col min="13559" max="13559" width="3.28515625" style="22" customWidth="1"/>
    <col min="13560" max="13560" width="29" style="22" customWidth="1"/>
    <col min="13561" max="13561" width="14" style="22" customWidth="1"/>
    <col min="13562" max="13562" width="11.28515625" style="22" customWidth="1"/>
    <col min="13563" max="13563" width="16.7109375" style="22" customWidth="1"/>
    <col min="13564" max="13564" width="8.85546875" style="22" customWidth="1"/>
    <col min="13565" max="13565" width="29" style="22" customWidth="1"/>
    <col min="13566" max="13814" width="9.140625" style="22"/>
    <col min="13815" max="13815" width="3.28515625" style="22" customWidth="1"/>
    <col min="13816" max="13816" width="29" style="22" customWidth="1"/>
    <col min="13817" max="13817" width="14" style="22" customWidth="1"/>
    <col min="13818" max="13818" width="11.28515625" style="22" customWidth="1"/>
    <col min="13819" max="13819" width="16.7109375" style="22" customWidth="1"/>
    <col min="13820" max="13820" width="8.85546875" style="22" customWidth="1"/>
    <col min="13821" max="13821" width="29" style="22" customWidth="1"/>
    <col min="13822" max="14070" width="9.140625" style="22"/>
    <col min="14071" max="14071" width="3.28515625" style="22" customWidth="1"/>
    <col min="14072" max="14072" width="29" style="22" customWidth="1"/>
    <col min="14073" max="14073" width="14" style="22" customWidth="1"/>
    <col min="14074" max="14074" width="11.28515625" style="22" customWidth="1"/>
    <col min="14075" max="14075" width="16.7109375" style="22" customWidth="1"/>
    <col min="14076" max="14076" width="8.85546875" style="22" customWidth="1"/>
    <col min="14077" max="14077" width="29" style="22" customWidth="1"/>
    <col min="14078" max="14326" width="9.140625" style="22"/>
    <col min="14327" max="14327" width="3.28515625" style="22" customWidth="1"/>
    <col min="14328" max="14328" width="29" style="22" customWidth="1"/>
    <col min="14329" max="14329" width="14" style="22" customWidth="1"/>
    <col min="14330" max="14330" width="11.28515625" style="22" customWidth="1"/>
    <col min="14331" max="14331" width="16.7109375" style="22" customWidth="1"/>
    <col min="14332" max="14332" width="8.85546875" style="22" customWidth="1"/>
    <col min="14333" max="14333" width="29" style="22" customWidth="1"/>
    <col min="14334" max="14582" width="9.140625" style="22"/>
    <col min="14583" max="14583" width="3.28515625" style="22" customWidth="1"/>
    <col min="14584" max="14584" width="29" style="22" customWidth="1"/>
    <col min="14585" max="14585" width="14" style="22" customWidth="1"/>
    <col min="14586" max="14586" width="11.28515625" style="22" customWidth="1"/>
    <col min="14587" max="14587" width="16.7109375" style="22" customWidth="1"/>
    <col min="14588" max="14588" width="8.85546875" style="22" customWidth="1"/>
    <col min="14589" max="14589" width="29" style="22" customWidth="1"/>
    <col min="14590" max="14838" width="9.140625" style="22"/>
    <col min="14839" max="14839" width="3.28515625" style="22" customWidth="1"/>
    <col min="14840" max="14840" width="29" style="22" customWidth="1"/>
    <col min="14841" max="14841" width="14" style="22" customWidth="1"/>
    <col min="14842" max="14842" width="11.28515625" style="22" customWidth="1"/>
    <col min="14843" max="14843" width="16.7109375" style="22" customWidth="1"/>
    <col min="14844" max="14844" width="8.85546875" style="22" customWidth="1"/>
    <col min="14845" max="14845" width="29" style="22" customWidth="1"/>
    <col min="14846" max="15094" width="9.140625" style="22"/>
    <col min="15095" max="15095" width="3.28515625" style="22" customWidth="1"/>
    <col min="15096" max="15096" width="29" style="22" customWidth="1"/>
    <col min="15097" max="15097" width="14" style="22" customWidth="1"/>
    <col min="15098" max="15098" width="11.28515625" style="22" customWidth="1"/>
    <col min="15099" max="15099" width="16.7109375" style="22" customWidth="1"/>
    <col min="15100" max="15100" width="8.85546875" style="22" customWidth="1"/>
    <col min="15101" max="15101" width="29" style="22" customWidth="1"/>
    <col min="15102" max="15350" width="9.140625" style="22"/>
    <col min="15351" max="15351" width="3.28515625" style="22" customWidth="1"/>
    <col min="15352" max="15352" width="29" style="22" customWidth="1"/>
    <col min="15353" max="15353" width="14" style="22" customWidth="1"/>
    <col min="15354" max="15354" width="11.28515625" style="22" customWidth="1"/>
    <col min="15355" max="15355" width="16.7109375" style="22" customWidth="1"/>
    <col min="15356" max="15356" width="8.85546875" style="22" customWidth="1"/>
    <col min="15357" max="15357" width="29" style="22" customWidth="1"/>
    <col min="15358" max="15606" width="9.140625" style="22"/>
    <col min="15607" max="15607" width="3.28515625" style="22" customWidth="1"/>
    <col min="15608" max="15608" width="29" style="22" customWidth="1"/>
    <col min="15609" max="15609" width="14" style="22" customWidth="1"/>
    <col min="15610" max="15610" width="11.28515625" style="22" customWidth="1"/>
    <col min="15611" max="15611" width="16.7109375" style="22" customWidth="1"/>
    <col min="15612" max="15612" width="8.85546875" style="22" customWidth="1"/>
    <col min="15613" max="15613" width="29" style="22" customWidth="1"/>
    <col min="15614" max="15862" width="9.140625" style="22"/>
    <col min="15863" max="15863" width="3.28515625" style="22" customWidth="1"/>
    <col min="15864" max="15864" width="29" style="22" customWidth="1"/>
    <col min="15865" max="15865" width="14" style="22" customWidth="1"/>
    <col min="15866" max="15866" width="11.28515625" style="22" customWidth="1"/>
    <col min="15867" max="15867" width="16.7109375" style="22" customWidth="1"/>
    <col min="15868" max="15868" width="8.85546875" style="22" customWidth="1"/>
    <col min="15869" max="15869" width="29" style="22" customWidth="1"/>
    <col min="15870" max="16118" width="9.140625" style="22"/>
    <col min="16119" max="16119" width="3.28515625" style="22" customWidth="1"/>
    <col min="16120" max="16120" width="29" style="22" customWidth="1"/>
    <col min="16121" max="16121" width="14" style="22" customWidth="1"/>
    <col min="16122" max="16122" width="11.28515625" style="22" customWidth="1"/>
    <col min="16123" max="16123" width="16.7109375" style="22" customWidth="1"/>
    <col min="16124" max="16124" width="8.85546875" style="22" customWidth="1"/>
    <col min="16125" max="16125" width="29" style="22" customWidth="1"/>
    <col min="16126" max="16384" width="9.140625" style="22"/>
  </cols>
  <sheetData>
    <row r="1" spans="1:246" ht="15.75" x14ac:dyDescent="0.2"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246" ht="30.75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  <c r="J2" s="411"/>
      <c r="K2" s="411"/>
      <c r="L2" s="296"/>
    </row>
    <row r="3" spans="1:246" ht="15.75" x14ac:dyDescent="0.2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09"/>
      <c r="L3" s="209"/>
    </row>
    <row r="4" spans="1:246" ht="2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09"/>
      <c r="L4" s="209"/>
    </row>
    <row r="5" spans="1:246" ht="15.75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67"/>
      <c r="J5" s="209"/>
      <c r="K5" s="209"/>
      <c r="L5" s="209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  <c r="IL5" s="211"/>
    </row>
    <row r="6" spans="1:246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68"/>
      <c r="J6" s="209"/>
      <c r="K6" s="209"/>
      <c r="L6" s="209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  <c r="IL6" s="211"/>
    </row>
    <row r="7" spans="1:246" ht="15.75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69"/>
      <c r="J7" s="209"/>
      <c r="K7" s="209"/>
      <c r="L7" s="209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  <c r="IL7" s="212"/>
    </row>
    <row r="8" spans="1:246" ht="15.75" x14ac:dyDescent="0.2">
      <c r="A8" s="209"/>
      <c r="B8" s="209"/>
      <c r="C8" s="209"/>
      <c r="D8" s="209"/>
      <c r="E8" s="209"/>
      <c r="F8" s="209"/>
      <c r="G8" s="209"/>
      <c r="J8" s="209"/>
      <c r="K8" s="209"/>
      <c r="L8" s="209"/>
    </row>
    <row r="9" spans="1:246" ht="15.75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400"/>
      <c r="L9" s="266"/>
    </row>
    <row r="10" spans="1:246" ht="15.75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400"/>
      <c r="L10" s="266"/>
    </row>
    <row r="11" spans="1:246" ht="15" customHeight="1" x14ac:dyDescent="0.2">
      <c r="A11" s="374"/>
      <c r="B11" s="374"/>
      <c r="C11" s="374"/>
      <c r="D11" s="374"/>
      <c r="E11" s="374"/>
      <c r="F11" s="374"/>
      <c r="G11" s="374"/>
      <c r="H11" s="374"/>
      <c r="I11" s="270"/>
      <c r="J11" s="209"/>
      <c r="K11" s="209"/>
      <c r="L11" s="209"/>
    </row>
    <row r="12" spans="1:246" ht="16.5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4"/>
      <c r="K12" s="395"/>
      <c r="L12" s="294"/>
    </row>
    <row r="13" spans="1:246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  <c r="L13" s="375"/>
    </row>
    <row r="14" spans="1:246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  <c r="L14" s="375"/>
    </row>
    <row r="15" spans="1:246" ht="44.25" customHeight="1" x14ac:dyDescent="0.2">
      <c r="A15" s="398" t="s">
        <v>254</v>
      </c>
      <c r="B15" s="398"/>
      <c r="C15" s="398"/>
      <c r="D15" s="398"/>
      <c r="E15" s="398"/>
      <c r="F15" s="398"/>
      <c r="G15" s="213"/>
      <c r="J15" s="209"/>
      <c r="K15" s="209"/>
      <c r="L15" s="209"/>
    </row>
    <row r="16" spans="1:246" ht="66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  <c r="J16" s="399"/>
      <c r="K16" s="399"/>
      <c r="L16" s="271"/>
    </row>
    <row r="17" spans="1:13" ht="16.5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  <c r="J17" s="394"/>
      <c r="K17" s="395"/>
      <c r="L17" s="294"/>
    </row>
    <row r="18" spans="1:13" ht="87.75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  <c r="J18" s="399"/>
      <c r="K18" s="399"/>
      <c r="L18" s="271"/>
    </row>
    <row r="19" spans="1:13" ht="16.5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  <c r="J19" s="394"/>
      <c r="K19" s="395"/>
      <c r="L19" s="294"/>
    </row>
    <row r="20" spans="1:13" ht="60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  <c r="J20" s="399"/>
      <c r="K20" s="399"/>
      <c r="L20" s="271"/>
    </row>
    <row r="21" spans="1:13" ht="16.5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  <c r="J21" s="394"/>
      <c r="K21" s="395"/>
      <c r="L21" s="294"/>
    </row>
    <row r="22" spans="1:13" ht="66" customHeight="1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  <c r="J22" s="399"/>
      <c r="K22" s="399"/>
      <c r="L22" s="271"/>
    </row>
    <row r="23" spans="1:13" ht="4.5" customHeight="1" x14ac:dyDescent="0.2">
      <c r="A23" s="372"/>
      <c r="B23" s="372"/>
      <c r="C23" s="372"/>
      <c r="D23" s="372"/>
      <c r="E23" s="372"/>
      <c r="F23" s="372"/>
      <c r="G23" s="210"/>
      <c r="H23" s="399"/>
      <c r="I23" s="399"/>
      <c r="J23" s="399"/>
      <c r="K23" s="399"/>
      <c r="L23" s="399"/>
    </row>
    <row r="24" spans="1:13" s="215" customFormat="1" ht="60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311" t="s">
        <v>348</v>
      </c>
      <c r="J24" s="109" t="s">
        <v>130</v>
      </c>
      <c r="K24" s="109" t="s">
        <v>258</v>
      </c>
      <c r="L24" s="297" t="s">
        <v>344</v>
      </c>
    </row>
    <row r="25" spans="1:13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217">
        <v>10</v>
      </c>
      <c r="F25" s="218">
        <f>E25*2</f>
        <v>20</v>
      </c>
      <c r="G25" s="219">
        <f ca="1">'1-DD'!C131</f>
        <v>7515.6509975338686</v>
      </c>
      <c r="H25" s="219">
        <f t="shared" ref="H25:H31" ca="1" si="0">G25*2</f>
        <v>15031.301995067737</v>
      </c>
      <c r="I25" s="312">
        <f t="shared" ref="I25:I31" ca="1" si="1">H25*12</f>
        <v>180375.62394081283</v>
      </c>
      <c r="J25" s="219">
        <f t="shared" ref="J25:J30" ca="1" si="2">H25*E25</f>
        <v>150313.01995067738</v>
      </c>
      <c r="K25" s="293">
        <f ca="1">J25*12</f>
        <v>1803756.2394081284</v>
      </c>
      <c r="L25" s="298">
        <v>150942.04</v>
      </c>
      <c r="M25" s="314">
        <f ca="1">L25-I25</f>
        <v>-29433.583940812823</v>
      </c>
    </row>
    <row r="26" spans="1:13" s="220" customFormat="1" ht="25.5" x14ac:dyDescent="0.2">
      <c r="A26" s="397"/>
      <c r="B26" s="216">
        <v>2</v>
      </c>
      <c r="C26" s="140" t="s">
        <v>305</v>
      </c>
      <c r="D26" s="140" t="s">
        <v>85</v>
      </c>
      <c r="E26" s="217">
        <v>2</v>
      </c>
      <c r="F26" s="218">
        <f t="shared" ref="F26:F31" si="3">E26*2</f>
        <v>4</v>
      </c>
      <c r="G26" s="219">
        <f ca="1">'2-DDM '!C131</f>
        <v>8517.7158971606732</v>
      </c>
      <c r="H26" s="219">
        <f t="shared" ca="1" si="0"/>
        <v>17035.431794321346</v>
      </c>
      <c r="I26" s="312">
        <f t="shared" ca="1" si="1"/>
        <v>204425.18153185616</v>
      </c>
      <c r="J26" s="219">
        <f t="shared" ca="1" si="2"/>
        <v>34070.863588642693</v>
      </c>
      <c r="K26" s="293">
        <f ca="1">J26*12</f>
        <v>408850.36306371231</v>
      </c>
      <c r="L26" s="298">
        <v>172268.68</v>
      </c>
      <c r="M26" s="314">
        <f t="shared" ref="M26:M30" ca="1" si="4">L26-I26</f>
        <v>-32156.501531856164</v>
      </c>
    </row>
    <row r="27" spans="1:13" s="220" customFormat="1" ht="25.5" x14ac:dyDescent="0.2">
      <c r="A27" s="397"/>
      <c r="B27" s="216">
        <v>3</v>
      </c>
      <c r="C27" s="140" t="s">
        <v>306</v>
      </c>
      <c r="D27" s="140" t="s">
        <v>85</v>
      </c>
      <c r="E27" s="217">
        <v>1</v>
      </c>
      <c r="F27" s="218">
        <f t="shared" si="3"/>
        <v>2</v>
      </c>
      <c r="G27" s="219">
        <f ca="1">'3-DDMon'!C131</f>
        <v>7515.6509975338686</v>
      </c>
      <c r="H27" s="219">
        <f t="shared" ca="1" si="0"/>
        <v>15031.301995067737</v>
      </c>
      <c r="I27" s="312">
        <f t="shared" ca="1" si="1"/>
        <v>180375.62394081283</v>
      </c>
      <c r="J27" s="219">
        <f t="shared" ca="1" si="2"/>
        <v>15031.301995067737</v>
      </c>
      <c r="K27" s="293">
        <f ca="1">J27*12</f>
        <v>180375.62394081283</v>
      </c>
      <c r="L27" s="298">
        <v>150942.04</v>
      </c>
      <c r="M27" s="314">
        <f t="shared" ca="1" si="4"/>
        <v>-29433.583940812823</v>
      </c>
    </row>
    <row r="28" spans="1:13" s="220" customFormat="1" ht="25.5" x14ac:dyDescent="0.2">
      <c r="A28" s="397"/>
      <c r="B28" s="216">
        <v>4</v>
      </c>
      <c r="C28" s="140" t="s">
        <v>307</v>
      </c>
      <c r="D28" s="140" t="s">
        <v>84</v>
      </c>
      <c r="E28" s="217">
        <v>10</v>
      </c>
      <c r="F28" s="218">
        <f t="shared" si="3"/>
        <v>20</v>
      </c>
      <c r="G28" s="219">
        <f ca="1">'4-AN'!C131</f>
        <v>8254.7283398611526</v>
      </c>
      <c r="H28" s="219">
        <f t="shared" ca="1" si="0"/>
        <v>16509.456679722305</v>
      </c>
      <c r="I28" s="312">
        <f t="shared" ca="1" si="1"/>
        <v>198113.48015666765</v>
      </c>
      <c r="J28" s="219">
        <f t="shared" ca="1" si="2"/>
        <v>165094.56679722306</v>
      </c>
      <c r="K28" s="293">
        <f t="shared" ref="K28:K29" ca="1" si="5">J28*12</f>
        <v>1981134.8015666767</v>
      </c>
      <c r="L28" s="298">
        <v>165709.44</v>
      </c>
      <c r="M28" s="314">
        <f t="shared" ca="1" si="4"/>
        <v>-32404.040156667645</v>
      </c>
    </row>
    <row r="29" spans="1:13" s="220" customFormat="1" ht="25.5" x14ac:dyDescent="0.2">
      <c r="A29" s="397"/>
      <c r="B29" s="216">
        <v>5</v>
      </c>
      <c r="C29" s="140" t="s">
        <v>308</v>
      </c>
      <c r="D29" s="140" t="s">
        <v>85</v>
      </c>
      <c r="E29" s="217">
        <v>2</v>
      </c>
      <c r="F29" s="218">
        <f t="shared" si="3"/>
        <v>4</v>
      </c>
      <c r="G29" s="219">
        <f ca="1">'5-AD'!C131</f>
        <v>7527.3062611718906</v>
      </c>
      <c r="H29" s="219">
        <f t="shared" ca="1" si="0"/>
        <v>15054.612522343781</v>
      </c>
      <c r="I29" s="312">
        <f t="shared" ca="1" si="1"/>
        <v>180655.35026812536</v>
      </c>
      <c r="J29" s="219">
        <f t="shared" ca="1" si="2"/>
        <v>30109.225044687562</v>
      </c>
      <c r="K29" s="293">
        <f t="shared" ca="1" si="5"/>
        <v>361310.70053625072</v>
      </c>
      <c r="L29" s="298">
        <v>151221.76999999999</v>
      </c>
      <c r="M29" s="314">
        <f t="shared" ca="1" si="4"/>
        <v>-29433.58026812537</v>
      </c>
    </row>
    <row r="30" spans="1:13" s="220" customFormat="1" ht="25.5" customHeight="1" x14ac:dyDescent="0.2">
      <c r="A30" s="397"/>
      <c r="B30" s="216">
        <v>6</v>
      </c>
      <c r="C30" s="140" t="s">
        <v>309</v>
      </c>
      <c r="D30" s="140" t="s">
        <v>84</v>
      </c>
      <c r="E30" s="217">
        <v>2</v>
      </c>
      <c r="F30" s="218">
        <f t="shared" si="3"/>
        <v>4</v>
      </c>
      <c r="G30" s="219">
        <f ca="1">'6-ANM'!C131</f>
        <v>9343.3638101741108</v>
      </c>
      <c r="H30" s="219">
        <f ca="1">G30*2</f>
        <v>18686.727620348222</v>
      </c>
      <c r="I30" s="312">
        <f t="shared" ca="1" si="1"/>
        <v>224240.73144417867</v>
      </c>
      <c r="J30" s="219">
        <f t="shared" ca="1" si="2"/>
        <v>37373.455240696443</v>
      </c>
      <c r="K30" s="293">
        <f ca="1">J30*12</f>
        <v>448481.46288835735</v>
      </c>
      <c r="L30" s="298">
        <v>188764.22</v>
      </c>
      <c r="M30" s="314">
        <f t="shared" ca="1" si="4"/>
        <v>-35476.511444178672</v>
      </c>
    </row>
    <row r="31" spans="1:13" s="220" customFormat="1" ht="32.25" customHeight="1" x14ac:dyDescent="0.2">
      <c r="A31" s="397"/>
      <c r="B31" s="216">
        <v>7</v>
      </c>
      <c r="C31" s="140" t="s">
        <v>310</v>
      </c>
      <c r="D31" s="140" t="s">
        <v>85</v>
      </c>
      <c r="E31" s="217">
        <v>1</v>
      </c>
      <c r="F31" s="218">
        <f t="shared" si="3"/>
        <v>2</v>
      </c>
      <c r="G31" s="219">
        <f ca="1">'7-ADM '!C131</f>
        <v>8542.0102597222703</v>
      </c>
      <c r="H31" s="219">
        <f t="shared" ca="1" si="0"/>
        <v>17084.020519444541</v>
      </c>
      <c r="I31" s="312">
        <f t="shared" ca="1" si="1"/>
        <v>205008.24623333447</v>
      </c>
      <c r="J31" s="219">
        <f ca="1">H31</f>
        <v>17084.020519444541</v>
      </c>
      <c r="K31" s="293">
        <f ca="1">J31*12</f>
        <v>205008.24623333447</v>
      </c>
      <c r="L31" s="298">
        <v>172804.16</v>
      </c>
      <c r="M31" s="314">
        <f ca="1">L31-I31</f>
        <v>-32204.08623333447</v>
      </c>
    </row>
    <row r="32" spans="1:13" s="215" customFormat="1" ht="15.75" customHeight="1" x14ac:dyDescent="0.2">
      <c r="A32" s="383" t="s">
        <v>259</v>
      </c>
      <c r="B32" s="384"/>
      <c r="C32" s="384"/>
      <c r="D32" s="384"/>
      <c r="E32" s="221">
        <f>SUM(E25:E31)</f>
        <v>28</v>
      </c>
      <c r="F32" s="222">
        <f>SUM(F25:F31)</f>
        <v>56</v>
      </c>
      <c r="G32" s="223"/>
      <c r="H32" s="224"/>
      <c r="I32" s="224"/>
      <c r="J32" s="224">
        <f ca="1">SUM(J25:J31)</f>
        <v>449076.45313643944</v>
      </c>
      <c r="K32" s="224">
        <f ca="1">SUM(K25:K31)</f>
        <v>5388917.4376372732</v>
      </c>
      <c r="L32" s="299"/>
    </row>
    <row r="33" spans="1:255" s="215" customFormat="1" ht="15" customHeight="1" x14ac:dyDescent="0.2">
      <c r="A33" s="307"/>
      <c r="B33" s="308"/>
      <c r="C33" s="308"/>
      <c r="D33" s="308"/>
      <c r="E33" s="308"/>
      <c r="F33" s="308"/>
      <c r="G33" s="308"/>
      <c r="H33" s="308"/>
      <c r="I33" s="308"/>
      <c r="J33" s="308"/>
      <c r="K33" s="309"/>
      <c r="L33" s="310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</row>
    <row r="34" spans="1:255" s="215" customFormat="1" ht="18" customHeight="1" x14ac:dyDescent="0.2">
      <c r="A34" s="387" t="s">
        <v>260</v>
      </c>
      <c r="B34" s="387"/>
      <c r="C34" s="387"/>
      <c r="D34" s="387"/>
      <c r="E34" s="387"/>
      <c r="F34" s="387"/>
      <c r="G34" s="387"/>
      <c r="H34" s="387"/>
      <c r="I34" s="387"/>
      <c r="J34" s="387"/>
      <c r="K34" s="226">
        <f ca="1">J32</f>
        <v>449076.45313643944</v>
      </c>
      <c r="L34" s="301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  <c r="IU34" s="225"/>
    </row>
    <row r="35" spans="1:255" s="215" customFormat="1" ht="15" customHeight="1" x14ac:dyDescent="0.2">
      <c r="A35" s="388" t="s">
        <v>374</v>
      </c>
      <c r="B35" s="389"/>
      <c r="C35" s="389"/>
      <c r="D35" s="389"/>
      <c r="E35" s="389"/>
      <c r="F35" s="389"/>
      <c r="G35" s="389"/>
      <c r="H35" s="389"/>
      <c r="I35" s="389"/>
      <c r="J35" s="389"/>
      <c r="K35" s="392"/>
      <c r="L35" s="302"/>
    </row>
    <row r="36" spans="1:255" s="215" customFormat="1" ht="5.25" customHeight="1" x14ac:dyDescent="0.2">
      <c r="A36" s="385"/>
      <c r="B36" s="386"/>
      <c r="C36" s="386"/>
      <c r="D36" s="386"/>
      <c r="E36" s="386"/>
      <c r="F36" s="386"/>
      <c r="G36" s="386"/>
      <c r="H36" s="386"/>
      <c r="I36" s="386"/>
      <c r="J36" s="386"/>
      <c r="K36" s="390"/>
      <c r="L36" s="300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  <c r="IU36" s="225"/>
    </row>
    <row r="37" spans="1:255" s="215" customFormat="1" ht="19.5" customHeight="1" x14ac:dyDescent="0.2">
      <c r="A37" s="387" t="s">
        <v>261</v>
      </c>
      <c r="B37" s="387"/>
      <c r="C37" s="387"/>
      <c r="D37" s="387"/>
      <c r="E37" s="387"/>
      <c r="F37" s="387"/>
      <c r="G37" s="387"/>
      <c r="H37" s="387"/>
      <c r="I37" s="387"/>
      <c r="J37" s="387"/>
      <c r="K37" s="227">
        <v>12</v>
      </c>
      <c r="L37" s="303"/>
    </row>
    <row r="38" spans="1:255" s="215" customFormat="1" ht="5.25" customHeight="1" x14ac:dyDescent="0.2">
      <c r="A38" s="385"/>
      <c r="B38" s="386"/>
      <c r="C38" s="386"/>
      <c r="D38" s="386"/>
      <c r="E38" s="386"/>
      <c r="F38" s="386"/>
      <c r="G38" s="386"/>
      <c r="H38" s="386"/>
      <c r="I38" s="386"/>
      <c r="J38" s="386"/>
      <c r="K38" s="390"/>
      <c r="L38" s="304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  <c r="IU38" s="225"/>
    </row>
    <row r="39" spans="1:255" s="215" customFormat="1" ht="15" customHeight="1" x14ac:dyDescent="0.2">
      <c r="A39" s="391" t="s">
        <v>262</v>
      </c>
      <c r="B39" s="391"/>
      <c r="C39" s="391"/>
      <c r="D39" s="391"/>
      <c r="E39" s="391"/>
      <c r="F39" s="391"/>
      <c r="G39" s="391"/>
      <c r="H39" s="391"/>
      <c r="I39" s="391"/>
      <c r="J39" s="391"/>
      <c r="K39" s="228">
        <f ca="1">K32</f>
        <v>5388917.4376372732</v>
      </c>
      <c r="L39" s="305"/>
    </row>
    <row r="40" spans="1:255" s="215" customFormat="1" ht="15" customHeight="1" x14ac:dyDescent="0.2">
      <c r="A40" s="388" t="s">
        <v>375</v>
      </c>
      <c r="B40" s="389"/>
      <c r="C40" s="389"/>
      <c r="D40" s="389"/>
      <c r="E40" s="389"/>
      <c r="F40" s="389"/>
      <c r="G40" s="389"/>
      <c r="H40" s="389"/>
      <c r="I40" s="389"/>
      <c r="J40" s="389"/>
      <c r="K40" s="392"/>
      <c r="L40" s="306"/>
    </row>
    <row r="41" spans="1:255" s="215" customFormat="1" ht="9" customHeight="1" x14ac:dyDescent="0.2">
      <c r="A41" s="290"/>
      <c r="B41" s="291"/>
      <c r="C41" s="291"/>
      <c r="D41" s="291"/>
      <c r="E41" s="291"/>
      <c r="F41" s="291"/>
      <c r="G41" s="291"/>
      <c r="H41" s="291"/>
      <c r="I41" s="291"/>
      <c r="J41" s="291"/>
      <c r="K41" s="292"/>
      <c r="L41" s="315"/>
    </row>
    <row r="42" spans="1:255" ht="18" customHeight="1" x14ac:dyDescent="0.2">
      <c r="A42" s="393" t="s">
        <v>193</v>
      </c>
      <c r="B42" s="394"/>
      <c r="C42" s="394"/>
      <c r="D42" s="394"/>
      <c r="E42" s="394"/>
      <c r="F42" s="394"/>
      <c r="G42" s="394"/>
      <c r="H42" s="394"/>
      <c r="I42" s="394"/>
      <c r="J42" s="394"/>
      <c r="K42" s="395"/>
      <c r="L42" s="294"/>
    </row>
    <row r="43" spans="1:255" ht="17.100000000000001" customHeight="1" x14ac:dyDescent="0.2">
      <c r="A43" s="375" t="s">
        <v>263</v>
      </c>
      <c r="B43" s="375"/>
      <c r="C43" s="375"/>
      <c r="D43" s="375"/>
      <c r="E43" s="375"/>
      <c r="F43" s="375"/>
      <c r="G43" s="375"/>
      <c r="H43" s="375"/>
      <c r="I43" s="208"/>
    </row>
    <row r="44" spans="1:255" ht="17.100000000000001" customHeight="1" x14ac:dyDescent="0.2">
      <c r="A44" s="375" t="s">
        <v>264</v>
      </c>
      <c r="B44" s="375"/>
      <c r="C44" s="375"/>
      <c r="D44" s="375"/>
      <c r="E44" s="375"/>
      <c r="F44" s="375"/>
      <c r="G44" s="375"/>
      <c r="H44" s="375"/>
      <c r="I44" s="208"/>
    </row>
    <row r="45" spans="1:255" ht="17.100000000000001" customHeight="1" x14ac:dyDescent="0.25">
      <c r="A45" s="375" t="s">
        <v>265</v>
      </c>
      <c r="B45" s="375"/>
      <c r="C45" s="375"/>
      <c r="D45" s="375"/>
      <c r="E45" s="229"/>
      <c r="F45" s="229"/>
      <c r="G45" s="229"/>
      <c r="H45" s="376" t="s">
        <v>266</v>
      </c>
      <c r="I45" s="376"/>
      <c r="J45" s="376"/>
      <c r="K45" s="376"/>
      <c r="L45" s="272"/>
    </row>
    <row r="46" spans="1:255" ht="17.100000000000001" customHeight="1" x14ac:dyDescent="0.25">
      <c r="A46" s="375" t="s">
        <v>194</v>
      </c>
      <c r="B46" s="375"/>
      <c r="C46" s="375"/>
      <c r="D46" s="375"/>
      <c r="E46" s="229"/>
      <c r="F46" s="229"/>
      <c r="G46" s="229"/>
      <c r="H46" s="376" t="s">
        <v>267</v>
      </c>
      <c r="I46" s="376"/>
      <c r="J46" s="376"/>
      <c r="K46" s="376"/>
      <c r="L46" s="272"/>
    </row>
    <row r="47" spans="1:255" ht="17.100000000000001" customHeight="1" x14ac:dyDescent="0.25">
      <c r="A47" s="375" t="s">
        <v>268</v>
      </c>
      <c r="B47" s="375"/>
      <c r="C47" s="375"/>
      <c r="D47" s="375"/>
      <c r="E47" s="229"/>
      <c r="F47" s="229"/>
      <c r="G47" s="229"/>
      <c r="H47" s="376" t="s">
        <v>269</v>
      </c>
      <c r="I47" s="376"/>
      <c r="J47" s="376"/>
      <c r="K47" s="376"/>
      <c r="L47" s="272"/>
    </row>
    <row r="48" spans="1:255" ht="17.100000000000001" customHeight="1" thickBot="1" x14ac:dyDescent="0.3">
      <c r="A48" s="375" t="s">
        <v>195</v>
      </c>
      <c r="B48" s="375"/>
      <c r="C48" s="375"/>
      <c r="D48" s="375"/>
      <c r="E48" s="229"/>
      <c r="F48" s="229"/>
      <c r="G48" s="229"/>
      <c r="H48" s="376" t="s">
        <v>270</v>
      </c>
      <c r="I48" s="376"/>
      <c r="J48" s="376"/>
      <c r="K48" s="376"/>
      <c r="L48" s="272"/>
    </row>
    <row r="49" spans="1:12" ht="33.75" customHeight="1" thickBot="1" x14ac:dyDescent="0.25">
      <c r="A49" s="405" t="s">
        <v>271</v>
      </c>
      <c r="B49" s="406"/>
      <c r="C49" s="406"/>
      <c r="D49" s="406"/>
      <c r="E49" s="406"/>
      <c r="F49" s="406"/>
      <c r="G49" s="406"/>
      <c r="H49" s="406"/>
      <c r="I49" s="406"/>
      <c r="J49" s="406"/>
      <c r="K49" s="407"/>
      <c r="L49" s="294"/>
    </row>
    <row r="50" spans="1:12" ht="82.5" customHeight="1" x14ac:dyDescent="0.2">
      <c r="A50" s="408" t="s">
        <v>273</v>
      </c>
      <c r="B50" s="409"/>
      <c r="C50" s="409"/>
      <c r="D50" s="409"/>
      <c r="E50" s="409"/>
      <c r="F50" s="409"/>
      <c r="G50" s="409"/>
      <c r="H50" s="409"/>
      <c r="I50" s="409"/>
      <c r="J50" s="409"/>
      <c r="K50" s="410"/>
      <c r="L50" s="295"/>
    </row>
    <row r="51" spans="1:12" ht="26.25" customHeight="1" x14ac:dyDescent="0.2">
      <c r="A51" s="368" t="s">
        <v>316</v>
      </c>
      <c r="B51" s="369"/>
      <c r="C51" s="369"/>
      <c r="D51" s="369"/>
      <c r="E51" s="369"/>
      <c r="F51" s="369"/>
      <c r="G51" s="369"/>
      <c r="H51" s="369"/>
      <c r="I51" s="369"/>
      <c r="J51" s="369"/>
      <c r="K51" s="370"/>
      <c r="L51" s="208"/>
    </row>
    <row r="52" spans="1:12" ht="25.5" customHeight="1" x14ac:dyDescent="0.2">
      <c r="A52" s="368" t="s">
        <v>359</v>
      </c>
      <c r="B52" s="369"/>
      <c r="C52" s="369"/>
      <c r="D52" s="369"/>
      <c r="E52" s="369"/>
      <c r="F52" s="369"/>
      <c r="G52" s="369"/>
      <c r="H52" s="369"/>
      <c r="I52" s="369"/>
      <c r="J52" s="369"/>
      <c r="K52" s="370"/>
      <c r="L52" s="208"/>
    </row>
    <row r="53" spans="1:12" ht="39" customHeight="1" x14ac:dyDescent="0.2">
      <c r="A53" s="368" t="s">
        <v>318</v>
      </c>
      <c r="B53" s="369"/>
      <c r="C53" s="369"/>
      <c r="D53" s="369"/>
      <c r="E53" s="369"/>
      <c r="F53" s="369"/>
      <c r="G53" s="369"/>
      <c r="H53" s="369"/>
      <c r="I53" s="369"/>
      <c r="J53" s="369"/>
      <c r="K53" s="370"/>
      <c r="L53" s="208"/>
    </row>
    <row r="54" spans="1:12" ht="27.75" customHeight="1" x14ac:dyDescent="0.2">
      <c r="A54" s="368" t="s">
        <v>319</v>
      </c>
      <c r="B54" s="369"/>
      <c r="C54" s="369"/>
      <c r="D54" s="369"/>
      <c r="E54" s="369"/>
      <c r="F54" s="369"/>
      <c r="G54" s="369"/>
      <c r="H54" s="369"/>
      <c r="I54" s="369"/>
      <c r="J54" s="369"/>
      <c r="K54" s="370"/>
      <c r="L54" s="208"/>
    </row>
    <row r="55" spans="1:12" ht="15.75" x14ac:dyDescent="0.2">
      <c r="A55" s="371"/>
      <c r="B55" s="372"/>
      <c r="C55" s="372"/>
      <c r="D55" s="372"/>
      <c r="E55" s="372"/>
      <c r="F55" s="372"/>
      <c r="G55" s="210"/>
      <c r="J55" s="209"/>
      <c r="K55" s="231"/>
      <c r="L55" s="209"/>
    </row>
    <row r="56" spans="1:12" ht="15.75" x14ac:dyDescent="0.2">
      <c r="A56" s="373"/>
      <c r="B56" s="374"/>
      <c r="C56" s="374"/>
      <c r="D56" s="374"/>
      <c r="E56" s="374"/>
      <c r="F56" s="374"/>
      <c r="G56" s="374"/>
      <c r="H56" s="374"/>
      <c r="I56" s="270"/>
      <c r="J56" s="209"/>
      <c r="K56" s="231"/>
      <c r="L56" s="209"/>
    </row>
    <row r="57" spans="1:12" ht="15.75" x14ac:dyDescent="0.2">
      <c r="A57" s="373"/>
      <c r="B57" s="374"/>
      <c r="C57" s="374"/>
      <c r="D57" s="374"/>
      <c r="E57" s="374"/>
      <c r="F57" s="374"/>
      <c r="G57" s="374"/>
      <c r="H57" s="374"/>
      <c r="I57" s="270"/>
      <c r="J57" s="209"/>
      <c r="K57" s="231"/>
      <c r="L57" s="209"/>
    </row>
    <row r="58" spans="1:12" ht="15.75" x14ac:dyDescent="0.2">
      <c r="A58" s="373"/>
      <c r="B58" s="374"/>
      <c r="C58" s="374"/>
      <c r="D58" s="374"/>
      <c r="E58" s="374"/>
      <c r="F58" s="374"/>
      <c r="G58" s="374"/>
      <c r="H58" s="374"/>
      <c r="I58" s="270"/>
      <c r="J58" s="209"/>
      <c r="K58" s="231"/>
      <c r="L58" s="209"/>
    </row>
    <row r="59" spans="1:12" ht="15.75" x14ac:dyDescent="0.2">
      <c r="A59" s="373"/>
      <c r="B59" s="374"/>
      <c r="C59" s="374"/>
      <c r="D59" s="374"/>
      <c r="E59" s="374"/>
      <c r="F59" s="374"/>
      <c r="G59" s="374"/>
      <c r="H59" s="374"/>
      <c r="I59" s="270"/>
      <c r="J59" s="209"/>
      <c r="K59" s="231"/>
      <c r="L59" s="209"/>
    </row>
    <row r="60" spans="1:12" ht="15.75" x14ac:dyDescent="0.2">
      <c r="A60" s="232"/>
      <c r="B60" s="233"/>
      <c r="C60" s="233"/>
      <c r="D60" s="233"/>
      <c r="E60" s="233"/>
      <c r="F60" s="233"/>
      <c r="G60" s="233"/>
      <c r="H60" s="234"/>
      <c r="I60" s="234"/>
      <c r="J60" s="233"/>
      <c r="K60" s="235"/>
      <c r="L60" s="209"/>
    </row>
    <row r="61" spans="1:12" ht="15.75" x14ac:dyDescent="0.2">
      <c r="A61" s="209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</row>
    <row r="66" spans="7:8" x14ac:dyDescent="0.2">
      <c r="G66" s="349">
        <f>'[2]Embrapa Sede'!$I$32</f>
        <v>185160.04426357665</v>
      </c>
      <c r="H66" s="22" t="s">
        <v>376</v>
      </c>
    </row>
    <row r="67" spans="7:8" x14ac:dyDescent="0.2">
      <c r="G67" s="349">
        <f>[3]Cenargem!$I$7</f>
        <v>183171.94930736301</v>
      </c>
      <c r="H67" s="22" t="s">
        <v>377</v>
      </c>
    </row>
    <row r="68" spans="7:8" x14ac:dyDescent="0.2">
      <c r="G68" s="349">
        <f>[4]Resumo!$J$12</f>
        <v>60170.387941492212</v>
      </c>
      <c r="H68" s="22" t="s">
        <v>378</v>
      </c>
    </row>
    <row r="69" spans="7:8" x14ac:dyDescent="0.2">
      <c r="G69" s="349">
        <f>SUM(G66:G68)</f>
        <v>428502.38151243184</v>
      </c>
    </row>
  </sheetData>
  <mergeCells count="50">
    <mergeCell ref="A11:H11"/>
    <mergeCell ref="A12:K12"/>
    <mergeCell ref="F13:L13"/>
    <mergeCell ref="A14:D14"/>
    <mergeCell ref="F14:L14"/>
    <mergeCell ref="A13:E13"/>
    <mergeCell ref="A10:K10"/>
    <mergeCell ref="C2:K2"/>
    <mergeCell ref="A5:H5"/>
    <mergeCell ref="A6:H6"/>
    <mergeCell ref="A7:H7"/>
    <mergeCell ref="A9:K9"/>
    <mergeCell ref="A37:J37"/>
    <mergeCell ref="A15:F15"/>
    <mergeCell ref="A22:K22"/>
    <mergeCell ref="A23:F23"/>
    <mergeCell ref="H23:L23"/>
    <mergeCell ref="A25:A31"/>
    <mergeCell ref="A32:D32"/>
    <mergeCell ref="A34:J34"/>
    <mergeCell ref="A35:K35"/>
    <mergeCell ref="A36:K36"/>
    <mergeCell ref="A16:K16"/>
    <mergeCell ref="A17:K17"/>
    <mergeCell ref="A18:K18"/>
    <mergeCell ref="A19:K19"/>
    <mergeCell ref="A20:K20"/>
    <mergeCell ref="A21:K21"/>
    <mergeCell ref="A38:K38"/>
    <mergeCell ref="A39:J39"/>
    <mergeCell ref="A40:K40"/>
    <mergeCell ref="A42:K42"/>
    <mergeCell ref="A43:H43"/>
    <mergeCell ref="A44:H44"/>
    <mergeCell ref="A45:D45"/>
    <mergeCell ref="H45:K45"/>
    <mergeCell ref="A46:D46"/>
    <mergeCell ref="H46:K46"/>
    <mergeCell ref="A55:F55"/>
    <mergeCell ref="A56:H59"/>
    <mergeCell ref="A47:D47"/>
    <mergeCell ref="H47:K47"/>
    <mergeCell ref="A48:D48"/>
    <mergeCell ref="H48:K48"/>
    <mergeCell ref="A49:K49"/>
    <mergeCell ref="A50:K50"/>
    <mergeCell ref="A51:K51"/>
    <mergeCell ref="A52:K52"/>
    <mergeCell ref="A53:K53"/>
    <mergeCell ref="A54:K5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1" orientation="portrait" horizontalDpi="360" verticalDpi="360" r:id="rId1"/>
  <rowBreaks count="1" manualBreakCount="1">
    <brk id="48" max="10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35"/>
  <sheetViews>
    <sheetView topLeftCell="A20" workbookViewId="0">
      <selection activeCell="B25" sqref="B25"/>
    </sheetView>
  </sheetViews>
  <sheetFormatPr defaultRowHeight="12.75" x14ac:dyDescent="0.25"/>
  <cols>
    <col min="1" max="1" width="92.7109375" style="1" customWidth="1"/>
    <col min="2" max="2" width="15.28515625" style="13" customWidth="1"/>
    <col min="3" max="3" width="12.42578125" style="1" customWidth="1"/>
    <col min="4" max="4" width="10.28515625" style="1" bestFit="1" customWidth="1"/>
    <col min="5" max="16384" width="9.140625" style="1"/>
  </cols>
  <sheetData>
    <row r="1" spans="1:12" ht="15.75" thickBot="1" x14ac:dyDescent="0.3">
      <c r="A1" s="3"/>
      <c r="B1" s="4"/>
    </row>
    <row r="2" spans="1:12" ht="16.5" thickBot="1" x14ac:dyDescent="0.3">
      <c r="A2" s="426" t="s">
        <v>75</v>
      </c>
      <c r="B2" s="427"/>
      <c r="C2" s="428" t="s">
        <v>351</v>
      </c>
      <c r="D2" s="428"/>
      <c r="E2" s="428"/>
      <c r="F2" s="428"/>
      <c r="G2" s="428"/>
      <c r="H2" s="428"/>
      <c r="I2" s="428"/>
      <c r="J2" s="428"/>
      <c r="K2" s="428"/>
      <c r="L2" s="428"/>
    </row>
    <row r="3" spans="1:12" ht="16.5" thickBot="1" x14ac:dyDescent="0.3">
      <c r="A3" s="23" t="s">
        <v>34</v>
      </c>
      <c r="B3" s="17"/>
      <c r="C3" s="428"/>
      <c r="D3" s="428"/>
      <c r="E3" s="428"/>
      <c r="F3" s="428"/>
      <c r="G3" s="428"/>
      <c r="H3" s="428"/>
      <c r="I3" s="428"/>
      <c r="J3" s="428"/>
      <c r="K3" s="428"/>
      <c r="L3" s="428"/>
    </row>
    <row r="4" spans="1:12" ht="15.75" thickBot="1" x14ac:dyDescent="0.3">
      <c r="A4" s="6" t="s">
        <v>167</v>
      </c>
      <c r="B4" s="16"/>
      <c r="C4" s="428"/>
      <c r="D4" s="428"/>
      <c r="E4" s="428"/>
      <c r="F4" s="428"/>
      <c r="G4" s="428"/>
      <c r="H4" s="428"/>
      <c r="I4" s="428"/>
      <c r="J4" s="428"/>
      <c r="K4" s="428"/>
      <c r="L4" s="428"/>
    </row>
    <row r="5" spans="1:12" ht="15" x14ac:dyDescent="0.25">
      <c r="A5" s="9" t="s">
        <v>61</v>
      </c>
      <c r="B5" s="18">
        <v>8.3299999999999999E-2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</row>
    <row r="6" spans="1:12" s="7" customFormat="1" ht="15" x14ac:dyDescent="0.25">
      <c r="A6" s="10" t="s">
        <v>59</v>
      </c>
      <c r="B6" s="15">
        <v>0.121</v>
      </c>
      <c r="C6" s="428"/>
      <c r="D6" s="428"/>
      <c r="E6" s="428"/>
      <c r="F6" s="428"/>
      <c r="G6" s="428"/>
      <c r="H6" s="428"/>
      <c r="I6" s="428"/>
      <c r="J6" s="428"/>
      <c r="K6" s="428"/>
      <c r="L6" s="428"/>
    </row>
    <row r="7" spans="1:12" s="7" customFormat="1" ht="15" x14ac:dyDescent="0.25">
      <c r="A7" s="10" t="s">
        <v>169</v>
      </c>
      <c r="B7" s="15">
        <f>SUM(B5:B6)</f>
        <v>0.20429999999999998</v>
      </c>
      <c r="C7" s="428"/>
      <c r="D7" s="428"/>
      <c r="E7" s="428"/>
      <c r="F7" s="428"/>
      <c r="G7" s="428"/>
      <c r="H7" s="428"/>
      <c r="I7" s="428"/>
      <c r="J7" s="428"/>
      <c r="K7" s="428"/>
      <c r="L7" s="428"/>
    </row>
    <row r="8" spans="1:12" s="7" customFormat="1" ht="15.75" thickBot="1" x14ac:dyDescent="0.3">
      <c r="A8" s="10" t="s">
        <v>168</v>
      </c>
      <c r="B8" s="15">
        <f>B7*B20</f>
        <v>7.2117899999999999E-2</v>
      </c>
      <c r="C8" s="428"/>
      <c r="D8" s="428"/>
      <c r="E8" s="428"/>
      <c r="F8" s="428"/>
      <c r="G8" s="428"/>
      <c r="H8" s="428"/>
      <c r="I8" s="428"/>
      <c r="J8" s="428"/>
      <c r="K8" s="428"/>
      <c r="L8" s="428"/>
    </row>
    <row r="9" spans="1:12" ht="15.75" thickBot="1" x14ac:dyDescent="0.3">
      <c r="A9" s="24" t="s">
        <v>77</v>
      </c>
      <c r="B9" s="25">
        <f>SUM(B7:B8)</f>
        <v>0.27641789999999999</v>
      </c>
      <c r="C9" s="428"/>
      <c r="D9" s="428"/>
      <c r="E9" s="428"/>
      <c r="F9" s="428"/>
      <c r="G9" s="428"/>
      <c r="H9" s="428"/>
      <c r="I9" s="428"/>
      <c r="J9" s="428"/>
      <c r="K9" s="428"/>
      <c r="L9" s="428"/>
    </row>
    <row r="10" spans="1:12" s="19" customFormat="1" ht="9" customHeight="1" thickBot="1" x14ac:dyDescent="0.3">
      <c r="A10" s="26"/>
      <c r="B10" s="27"/>
      <c r="C10" s="428"/>
      <c r="D10" s="428"/>
      <c r="E10" s="428"/>
      <c r="F10" s="428"/>
      <c r="G10" s="428"/>
      <c r="H10" s="428"/>
      <c r="I10" s="428"/>
      <c r="J10" s="428"/>
      <c r="K10" s="428"/>
      <c r="L10" s="428"/>
    </row>
    <row r="11" spans="1:12" s="7" customFormat="1" ht="16.5" customHeight="1" thickBot="1" x14ac:dyDescent="0.3">
      <c r="A11" s="424" t="s">
        <v>62</v>
      </c>
      <c r="B11" s="425"/>
      <c r="C11" s="428"/>
      <c r="D11" s="428"/>
      <c r="E11" s="428"/>
      <c r="F11" s="428"/>
      <c r="G11" s="428"/>
      <c r="H11" s="428"/>
      <c r="I11" s="428"/>
      <c r="J11" s="428"/>
      <c r="K11" s="428"/>
      <c r="L11" s="428"/>
    </row>
    <row r="12" spans="1:12" s="7" customFormat="1" ht="15" x14ac:dyDescent="0.25">
      <c r="A12" s="2" t="s">
        <v>15</v>
      </c>
      <c r="B12" s="14">
        <v>0.2</v>
      </c>
      <c r="C12" s="428"/>
      <c r="D12" s="428"/>
      <c r="E12" s="428"/>
      <c r="F12" s="428"/>
      <c r="G12" s="428"/>
      <c r="H12" s="428"/>
      <c r="I12" s="428"/>
      <c r="J12" s="428"/>
      <c r="K12" s="428"/>
      <c r="L12" s="428"/>
    </row>
    <row r="13" spans="1:12" ht="15" x14ac:dyDescent="0.25">
      <c r="A13" s="2" t="s">
        <v>63</v>
      </c>
      <c r="B13" s="14">
        <v>2.5000000000000001E-2</v>
      </c>
      <c r="C13" s="428"/>
      <c r="D13" s="428"/>
      <c r="E13" s="428"/>
      <c r="F13" s="428"/>
      <c r="G13" s="428"/>
      <c r="H13" s="428"/>
      <c r="I13" s="428"/>
      <c r="J13" s="428"/>
      <c r="K13" s="428"/>
      <c r="L13" s="428"/>
    </row>
    <row r="14" spans="1:12" s="7" customFormat="1" ht="15" x14ac:dyDescent="0.25">
      <c r="A14" s="2" t="s">
        <v>73</v>
      </c>
      <c r="B14" s="14">
        <v>1.4999999999999999E-2</v>
      </c>
      <c r="C14" s="428"/>
      <c r="D14" s="428"/>
      <c r="E14" s="428"/>
      <c r="F14" s="428"/>
      <c r="G14" s="428"/>
      <c r="H14" s="428"/>
      <c r="I14" s="428"/>
      <c r="J14" s="428"/>
      <c r="K14" s="428"/>
      <c r="L14" s="428"/>
    </row>
    <row r="15" spans="1:12" s="7" customFormat="1" ht="15" x14ac:dyDescent="0.25">
      <c r="A15" s="2" t="s">
        <v>64</v>
      </c>
      <c r="B15" s="14">
        <v>1.4999999999999999E-2</v>
      </c>
      <c r="C15" s="428"/>
      <c r="D15" s="428"/>
      <c r="E15" s="428"/>
      <c r="F15" s="428"/>
      <c r="G15" s="428"/>
      <c r="H15" s="428"/>
      <c r="I15" s="428"/>
      <c r="J15" s="428"/>
      <c r="K15" s="428"/>
      <c r="L15" s="428"/>
    </row>
    <row r="16" spans="1:12" s="7" customFormat="1" ht="15" x14ac:dyDescent="0.25">
      <c r="A16" s="2" t="s">
        <v>65</v>
      </c>
      <c r="B16" s="14">
        <v>0.01</v>
      </c>
      <c r="C16" s="428"/>
      <c r="D16" s="428"/>
      <c r="E16" s="428"/>
      <c r="F16" s="428"/>
      <c r="G16" s="428"/>
      <c r="H16" s="428"/>
      <c r="I16" s="428"/>
      <c r="J16" s="428"/>
      <c r="K16" s="428"/>
      <c r="L16" s="428"/>
    </row>
    <row r="17" spans="1:12" ht="15" x14ac:dyDescent="0.25">
      <c r="A17" s="2" t="s">
        <v>66</v>
      </c>
      <c r="B17" s="14">
        <v>6.0000000000000001E-3</v>
      </c>
      <c r="C17" s="428"/>
      <c r="D17" s="428"/>
      <c r="E17" s="428"/>
      <c r="F17" s="428"/>
      <c r="G17" s="428"/>
      <c r="H17" s="428"/>
      <c r="I17" s="428"/>
      <c r="J17" s="428"/>
      <c r="K17" s="428"/>
      <c r="L17" s="428"/>
    </row>
    <row r="18" spans="1:12" ht="15" x14ac:dyDescent="0.25">
      <c r="A18" s="2" t="s">
        <v>67</v>
      </c>
      <c r="B18" s="14">
        <v>2E-3</v>
      </c>
      <c r="C18" s="428"/>
      <c r="D18" s="428"/>
      <c r="E18" s="428"/>
      <c r="F18" s="428"/>
      <c r="G18" s="428"/>
      <c r="H18" s="428"/>
      <c r="I18" s="428"/>
      <c r="J18" s="428"/>
      <c r="K18" s="428"/>
      <c r="L18" s="428"/>
    </row>
    <row r="19" spans="1:12" ht="15.75" thickBot="1" x14ac:dyDescent="0.3">
      <c r="A19" s="2" t="s">
        <v>68</v>
      </c>
      <c r="B19" s="14">
        <v>0.08</v>
      </c>
      <c r="C19" s="428"/>
      <c r="D19" s="428"/>
      <c r="E19" s="428"/>
      <c r="F19" s="428"/>
      <c r="G19" s="428"/>
      <c r="H19" s="428"/>
      <c r="I19" s="428"/>
      <c r="J19" s="428"/>
      <c r="K19" s="428"/>
      <c r="L19" s="428"/>
    </row>
    <row r="20" spans="1:12" s="7" customFormat="1" ht="15" thickBot="1" x14ac:dyDescent="0.3">
      <c r="A20" s="24" t="s">
        <v>0</v>
      </c>
      <c r="B20" s="129">
        <f>SUM(B12:B19)</f>
        <v>0.35300000000000004</v>
      </c>
      <c r="C20" s="428"/>
      <c r="D20" s="428"/>
      <c r="E20" s="428"/>
      <c r="F20" s="428"/>
      <c r="G20" s="428"/>
      <c r="H20" s="428"/>
      <c r="I20" s="428"/>
      <c r="J20" s="428"/>
      <c r="K20" s="428"/>
      <c r="L20" s="428"/>
    </row>
    <row r="21" spans="1:12" s="19" customFormat="1" ht="9" customHeight="1" thickBot="1" x14ac:dyDescent="0.3">
      <c r="A21" s="26"/>
      <c r="B21" s="27"/>
      <c r="C21" s="428"/>
      <c r="D21" s="428"/>
      <c r="E21" s="428"/>
      <c r="F21" s="428"/>
      <c r="G21" s="428"/>
      <c r="H21" s="428"/>
      <c r="I21" s="428"/>
      <c r="J21" s="428"/>
      <c r="K21" s="428"/>
      <c r="L21" s="428"/>
    </row>
    <row r="22" spans="1:12" s="5" customFormat="1" ht="16.5" thickBot="1" x14ac:dyDescent="0.3">
      <c r="A22" s="424" t="s">
        <v>39</v>
      </c>
      <c r="B22" s="425"/>
      <c r="C22" s="428"/>
      <c r="D22" s="428"/>
      <c r="E22" s="428"/>
      <c r="F22" s="428"/>
      <c r="G22" s="428"/>
      <c r="H22" s="428"/>
      <c r="I22" s="428"/>
      <c r="J22" s="428"/>
      <c r="K22" s="428"/>
      <c r="L22" s="428"/>
    </row>
    <row r="23" spans="1:12" s="7" customFormat="1" ht="15.75" thickBot="1" x14ac:dyDescent="0.3">
      <c r="A23" s="6" t="s">
        <v>40</v>
      </c>
      <c r="B23" s="16"/>
      <c r="C23" s="428"/>
      <c r="D23" s="428"/>
      <c r="E23" s="428"/>
      <c r="F23" s="428"/>
      <c r="G23" s="428"/>
      <c r="H23" s="428"/>
      <c r="I23" s="428"/>
      <c r="J23" s="428"/>
      <c r="K23" s="428"/>
      <c r="L23" s="428"/>
    </row>
    <row r="24" spans="1:12" s="7" customFormat="1" ht="52.5" customHeight="1" x14ac:dyDescent="0.25">
      <c r="A24" s="284" t="s">
        <v>349</v>
      </c>
      <c r="B24" s="28">
        <v>1.94E-4</v>
      </c>
      <c r="C24" s="428"/>
      <c r="D24" s="428"/>
      <c r="E24" s="428"/>
      <c r="F24" s="428"/>
      <c r="G24" s="428"/>
      <c r="H24" s="428"/>
      <c r="I24" s="428"/>
      <c r="J24" s="428"/>
      <c r="K24" s="428"/>
      <c r="L24" s="428"/>
    </row>
    <row r="25" spans="1:12" ht="15" x14ac:dyDescent="0.25">
      <c r="A25" s="285" t="s">
        <v>335</v>
      </c>
      <c r="B25" s="28">
        <f>B24*8%</f>
        <v>1.552E-5</v>
      </c>
      <c r="C25" s="428"/>
      <c r="D25" s="428"/>
      <c r="E25" s="428"/>
      <c r="F25" s="428"/>
      <c r="G25" s="428"/>
      <c r="H25" s="428"/>
      <c r="I25" s="428"/>
      <c r="J25" s="428"/>
      <c r="K25" s="428"/>
      <c r="L25" s="428"/>
    </row>
    <row r="26" spans="1:12" ht="15" x14ac:dyDescent="0.25">
      <c r="A26" s="286" t="s">
        <v>336</v>
      </c>
      <c r="B26" s="28">
        <v>3.4000000000000002E-2</v>
      </c>
      <c r="C26" s="428"/>
      <c r="D26" s="428"/>
      <c r="E26" s="428"/>
      <c r="F26" s="428"/>
      <c r="G26" s="428"/>
      <c r="H26" s="428"/>
      <c r="I26" s="428"/>
      <c r="J26" s="428"/>
      <c r="K26" s="428"/>
      <c r="L26" s="428"/>
    </row>
    <row r="27" spans="1:12" s="19" customFormat="1" ht="63.75" x14ac:dyDescent="0.25">
      <c r="A27" s="287" t="s">
        <v>350</v>
      </c>
      <c r="B27" s="28">
        <f>((7/30/12)*1%)</f>
        <v>1.9444444444444446E-4</v>
      </c>
      <c r="C27" s="428"/>
      <c r="D27" s="428"/>
      <c r="E27" s="428"/>
      <c r="F27" s="428"/>
      <c r="G27" s="428"/>
      <c r="H27" s="428"/>
      <c r="I27" s="428"/>
      <c r="J27" s="428"/>
      <c r="K27" s="428"/>
      <c r="L27" s="428"/>
    </row>
    <row r="28" spans="1:12" ht="15" x14ac:dyDescent="0.25">
      <c r="A28" s="285" t="s">
        <v>78</v>
      </c>
      <c r="B28" s="28">
        <f>B27*B20</f>
        <v>6.8638888888888902E-5</v>
      </c>
      <c r="C28" s="428"/>
      <c r="D28" s="428"/>
      <c r="E28" s="428"/>
      <c r="F28" s="428"/>
      <c r="G28" s="428"/>
      <c r="H28" s="428"/>
      <c r="I28" s="428"/>
      <c r="J28" s="428"/>
      <c r="K28" s="428"/>
      <c r="L28" s="428"/>
    </row>
    <row r="29" spans="1:12" ht="15.75" thickBot="1" x14ac:dyDescent="0.3">
      <c r="A29" s="288" t="s">
        <v>337</v>
      </c>
      <c r="B29" s="28">
        <v>6.0000000000000001E-3</v>
      </c>
      <c r="C29" s="428"/>
      <c r="D29" s="428"/>
      <c r="E29" s="428"/>
      <c r="F29" s="428"/>
      <c r="G29" s="428"/>
      <c r="H29" s="428"/>
      <c r="I29" s="428"/>
      <c r="J29" s="428"/>
      <c r="K29" s="428"/>
      <c r="L29" s="428"/>
    </row>
    <row r="30" spans="1:12" s="7" customFormat="1" ht="15" thickBot="1" x14ac:dyDescent="0.3">
      <c r="A30" s="8" t="s">
        <v>18</v>
      </c>
      <c r="B30" s="130">
        <f>SUM(B24:B29)</f>
        <v>4.0472603333333329E-2</v>
      </c>
      <c r="C30" s="428"/>
      <c r="D30" s="428"/>
      <c r="E30" s="428"/>
      <c r="F30" s="428"/>
      <c r="G30" s="428"/>
      <c r="H30" s="428"/>
      <c r="I30" s="428"/>
      <c r="J30" s="428"/>
      <c r="K30" s="428"/>
      <c r="L30" s="428"/>
    </row>
    <row r="31" spans="1:12" s="7" customFormat="1" ht="15.75" thickBot="1" x14ac:dyDescent="0.3">
      <c r="A31" s="8"/>
      <c r="B31" s="20"/>
      <c r="C31" s="428"/>
      <c r="D31" s="428"/>
      <c r="E31" s="428"/>
      <c r="F31" s="428"/>
      <c r="G31" s="428"/>
      <c r="H31" s="428"/>
      <c r="I31" s="428"/>
      <c r="J31" s="428"/>
      <c r="K31" s="428"/>
      <c r="L31" s="428"/>
    </row>
    <row r="32" spans="1:12" s="5" customFormat="1" ht="16.5" thickBot="1" x14ac:dyDescent="0.3">
      <c r="A32" s="424" t="s">
        <v>41</v>
      </c>
      <c r="B32" s="425"/>
      <c r="C32" s="428"/>
      <c r="D32" s="428"/>
      <c r="E32" s="428"/>
      <c r="F32" s="428"/>
      <c r="G32" s="428"/>
      <c r="H32" s="428"/>
      <c r="I32" s="428"/>
      <c r="J32" s="428"/>
      <c r="K32" s="428"/>
      <c r="L32" s="428"/>
    </row>
    <row r="33" spans="1:12" s="7" customFormat="1" ht="15.75" thickBot="1" x14ac:dyDescent="0.3">
      <c r="A33" s="6" t="s">
        <v>42</v>
      </c>
      <c r="B33" s="16"/>
      <c r="C33" s="428"/>
      <c r="D33" s="428"/>
      <c r="E33" s="428"/>
      <c r="F33" s="428"/>
      <c r="G33" s="428"/>
      <c r="H33" s="428"/>
      <c r="I33" s="428"/>
      <c r="J33" s="428"/>
      <c r="K33" s="428"/>
      <c r="L33" s="428"/>
    </row>
    <row r="34" spans="1:12" ht="15" x14ac:dyDescent="0.25">
      <c r="A34" s="284" t="s">
        <v>338</v>
      </c>
      <c r="B34" s="313">
        <v>9.4999999999999998E-3</v>
      </c>
      <c r="C34" s="428"/>
      <c r="D34" s="428"/>
      <c r="E34" s="428"/>
      <c r="F34" s="428"/>
      <c r="G34" s="428"/>
      <c r="H34" s="428"/>
      <c r="I34" s="428"/>
      <c r="J34" s="428"/>
      <c r="K34" s="428"/>
      <c r="L34" s="428"/>
    </row>
    <row r="35" spans="1:12" ht="35.25" x14ac:dyDescent="0.25">
      <c r="A35" s="284" t="s">
        <v>339</v>
      </c>
      <c r="B35" s="28">
        <f>((2.96/30/12)*2%)</f>
        <v>1.6444444444444446E-4</v>
      </c>
      <c r="C35" s="428"/>
      <c r="D35" s="428"/>
      <c r="E35" s="428"/>
      <c r="F35" s="428"/>
      <c r="G35" s="428"/>
      <c r="H35" s="428"/>
      <c r="I35" s="428"/>
      <c r="J35" s="428"/>
      <c r="K35" s="428"/>
      <c r="L35" s="428"/>
    </row>
    <row r="36" spans="1:12" s="7" customFormat="1" ht="35.25" x14ac:dyDescent="0.25">
      <c r="A36" s="287" t="s">
        <v>340</v>
      </c>
      <c r="B36" s="28">
        <v>0</v>
      </c>
      <c r="C36" s="428"/>
      <c r="D36" s="428"/>
      <c r="E36" s="428"/>
      <c r="F36" s="428"/>
      <c r="G36" s="428"/>
      <c r="H36" s="428"/>
      <c r="I36" s="428"/>
      <c r="J36" s="428"/>
      <c r="K36" s="428"/>
      <c r="L36" s="428"/>
    </row>
    <row r="37" spans="1:12" ht="48.75" x14ac:dyDescent="0.25">
      <c r="A37" s="289" t="s">
        <v>352</v>
      </c>
      <c r="B37" s="28">
        <f>((15/30/12)*0.5%)</f>
        <v>2.0833333333333332E-4</v>
      </c>
      <c r="C37" s="428"/>
      <c r="D37" s="428"/>
      <c r="E37" s="428"/>
      <c r="F37" s="428"/>
      <c r="G37" s="428"/>
      <c r="H37" s="428"/>
      <c r="I37" s="428"/>
      <c r="J37" s="428"/>
      <c r="K37" s="428"/>
      <c r="L37" s="428"/>
    </row>
    <row r="38" spans="1:12" ht="81" x14ac:dyDescent="0.25">
      <c r="A38" s="284" t="s">
        <v>341</v>
      </c>
      <c r="B38" s="28">
        <v>0</v>
      </c>
      <c r="C38" s="428"/>
      <c r="D38" s="428"/>
      <c r="E38" s="428"/>
      <c r="F38" s="428"/>
      <c r="G38" s="428"/>
      <c r="H38" s="428"/>
      <c r="I38" s="428"/>
      <c r="J38" s="428"/>
      <c r="K38" s="428"/>
      <c r="L38" s="428"/>
    </row>
    <row r="39" spans="1:12" ht="21.75" customHeight="1" x14ac:dyDescent="0.25">
      <c r="A39" s="284" t="s">
        <v>342</v>
      </c>
      <c r="B39" s="28">
        <v>0</v>
      </c>
      <c r="C39" s="428"/>
      <c r="D39" s="428"/>
      <c r="E39" s="428"/>
      <c r="F39" s="428"/>
      <c r="G39" s="428"/>
      <c r="H39" s="428"/>
      <c r="I39" s="428"/>
      <c r="J39" s="428"/>
      <c r="K39" s="428"/>
      <c r="L39" s="428"/>
    </row>
    <row r="40" spans="1:12" s="7" customFormat="1" ht="15" customHeight="1" x14ac:dyDescent="0.25">
      <c r="A40" s="21" t="s">
        <v>69</v>
      </c>
      <c r="B40" s="15">
        <f>SUM(B34:B39)</f>
        <v>9.8727777777777772E-3</v>
      </c>
      <c r="C40" s="428"/>
      <c r="D40" s="428"/>
      <c r="E40" s="428"/>
      <c r="F40" s="428"/>
      <c r="G40" s="428"/>
      <c r="H40" s="428"/>
      <c r="I40" s="428"/>
      <c r="J40" s="428"/>
      <c r="K40" s="428"/>
      <c r="L40" s="428"/>
    </row>
    <row r="41" spans="1:12" ht="15" x14ac:dyDescent="0.25">
      <c r="A41" s="11" t="s">
        <v>137</v>
      </c>
      <c r="B41" s="14">
        <f>B40*B20</f>
        <v>3.4850905555555557E-3</v>
      </c>
      <c r="C41" s="428"/>
      <c r="D41" s="428"/>
      <c r="E41" s="428"/>
      <c r="F41" s="428"/>
      <c r="G41" s="428"/>
      <c r="H41" s="428"/>
      <c r="I41" s="428"/>
      <c r="J41" s="428"/>
      <c r="K41" s="428"/>
      <c r="L41" s="428"/>
    </row>
    <row r="42" spans="1:12" s="7" customFormat="1" ht="15" customHeight="1" thickBot="1" x14ac:dyDescent="0.3">
      <c r="A42" s="30" t="s">
        <v>0</v>
      </c>
      <c r="B42" s="31">
        <f>SUM(B40:B41)</f>
        <v>1.3357868333333333E-2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</row>
    <row r="43" spans="1:12" s="19" customFormat="1" ht="16.5" thickBot="1" x14ac:dyDescent="0.3">
      <c r="A43" s="32" t="s">
        <v>76</v>
      </c>
      <c r="B43" s="33">
        <f>B9+B20+B30+B42</f>
        <v>0.68324837166666663</v>
      </c>
      <c r="D43" s="29"/>
    </row>
    <row r="44" spans="1:12" x14ac:dyDescent="0.25">
      <c r="B44" s="1"/>
    </row>
    <row r="45" spans="1:12" x14ac:dyDescent="0.25">
      <c r="B45" s="1"/>
    </row>
    <row r="46" spans="1:12" x14ac:dyDescent="0.25">
      <c r="B46" s="1"/>
    </row>
    <row r="47" spans="1:12" x14ac:dyDescent="0.25">
      <c r="B47" s="1"/>
    </row>
    <row r="48" spans="1:12" x14ac:dyDescent="0.25">
      <c r="B48" s="1"/>
    </row>
    <row r="49" spans="1:2" x14ac:dyDescent="0.25">
      <c r="B49" s="1"/>
    </row>
    <row r="50" spans="1:2" x14ac:dyDescent="0.25">
      <c r="B50" s="1"/>
    </row>
    <row r="51" spans="1:2" x14ac:dyDescent="0.25">
      <c r="B51" s="1"/>
    </row>
    <row r="52" spans="1:2" x14ac:dyDescent="0.25">
      <c r="B52" s="1"/>
    </row>
    <row r="53" spans="1:2" x14ac:dyDescent="0.25">
      <c r="A53" s="12"/>
      <c r="B53" s="1"/>
    </row>
    <row r="54" spans="1:2" x14ac:dyDescent="0.25">
      <c r="B54" s="1"/>
    </row>
    <row r="55" spans="1:2" x14ac:dyDescent="0.25">
      <c r="B55" s="1"/>
    </row>
    <row r="56" spans="1:2" x14ac:dyDescent="0.25">
      <c r="B56" s="1"/>
    </row>
    <row r="57" spans="1:2" x14ac:dyDescent="0.25">
      <c r="B57" s="1"/>
    </row>
    <row r="58" spans="1:2" x14ac:dyDescent="0.25">
      <c r="B58" s="1"/>
    </row>
    <row r="59" spans="1:2" x14ac:dyDescent="0.25">
      <c r="B59" s="1"/>
    </row>
    <row r="60" spans="1:2" x14ac:dyDescent="0.25">
      <c r="B60" s="1"/>
    </row>
    <row r="61" spans="1:2" x14ac:dyDescent="0.25">
      <c r="B61" s="1"/>
    </row>
    <row r="62" spans="1:2" x14ac:dyDescent="0.25">
      <c r="B62" s="1"/>
    </row>
    <row r="63" spans="1:2" x14ac:dyDescent="0.25">
      <c r="B63" s="1"/>
    </row>
    <row r="64" spans="1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</sheetData>
  <mergeCells count="5">
    <mergeCell ref="A11:B11"/>
    <mergeCell ref="A22:B22"/>
    <mergeCell ref="A32:B32"/>
    <mergeCell ref="A2:B2"/>
    <mergeCell ref="C2:L4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25"/>
  <sheetViews>
    <sheetView topLeftCell="A15" workbookViewId="0">
      <selection activeCell="B58" sqref="B58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9.28515625" style="35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Proposta!C25</f>
        <v>Vigilância Desarmada Diurna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Desarmada Diurna</v>
      </c>
      <c r="B13" s="152" t="s">
        <v>95</v>
      </c>
      <c r="C13" s="84">
        <f>Proposta!E25</f>
        <v>10</v>
      </c>
    </row>
    <row r="14" spans="1:5" s="41" customFormat="1" ht="18.75" customHeight="1" x14ac:dyDescent="0.25">
      <c r="A14" s="433" t="s">
        <v>96</v>
      </c>
      <c r="B14" s="433"/>
      <c r="C14" s="84">
        <f>SUM(C13)</f>
        <v>10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106</v>
      </c>
      <c r="C18" s="444"/>
    </row>
    <row r="19" spans="1:9" s="36" customFormat="1" x14ac:dyDescent="0.2">
      <c r="A19" s="47" t="s">
        <v>102</v>
      </c>
      <c r="B19" s="445"/>
      <c r="C19" s="445"/>
    </row>
    <row r="20" spans="1:9" s="36" customFormat="1" x14ac:dyDescent="0.2">
      <c r="A20" s="47" t="s">
        <v>103</v>
      </c>
      <c r="B20" s="446"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>
        <v>0</v>
      </c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60</v>
      </c>
      <c r="B31" s="45"/>
      <c r="C31" s="46">
        <v>0</v>
      </c>
    </row>
    <row r="32" spans="1:9" s="36" customFormat="1" x14ac:dyDescent="0.25">
      <c r="A32" s="77" t="s">
        <v>72</v>
      </c>
      <c r="B32" s="45"/>
      <c r="C32" s="79"/>
    </row>
    <row r="33" spans="1:9" x14ac:dyDescent="0.25">
      <c r="A33" s="56" t="s">
        <v>11</v>
      </c>
      <c r="B33" s="57"/>
      <c r="C33" s="58">
        <f>SUM(C26:C32)</f>
        <v>3540.433</v>
      </c>
      <c r="D33" s="330"/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294.91806889999998</v>
      </c>
      <c r="D38" s="327"/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428.39239299999997</v>
      </c>
      <c r="D39" s="327"/>
    </row>
    <row r="40" spans="1:9" x14ac:dyDescent="0.25">
      <c r="A40" s="67" t="s">
        <v>69</v>
      </c>
      <c r="B40" s="131">
        <f>SUM(B38:B39)</f>
        <v>0.20429999999999998</v>
      </c>
      <c r="C40" s="68">
        <f>SUM(C38:C39)</f>
        <v>723.31046189999995</v>
      </c>
      <c r="D40" s="327"/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255.32859305069999</v>
      </c>
      <c r="D41" s="85"/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978.63905495069992</v>
      </c>
      <c r="D42" s="328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 t="shared" ref="C45:C52" si="0">B45*C$33</f>
        <v>708.08660000000009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si="0"/>
        <v>88.510825000000011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53.106494999999995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53.106494999999995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35.404330000000002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21.242598000000001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7.0808660000000003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283.23464000000001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1249.7728490000002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165</v>
      </c>
      <c r="B57" s="54">
        <v>47.37</v>
      </c>
      <c r="C57" s="46">
        <f>B57*15</f>
        <v>710.55</v>
      </c>
      <c r="D57" s="160"/>
    </row>
    <row r="58" spans="1:9" x14ac:dyDescent="0.25">
      <c r="A58" s="44" t="s">
        <v>12</v>
      </c>
      <c r="B58" s="54"/>
      <c r="C58" s="79">
        <v>0</v>
      </c>
    </row>
    <row r="59" spans="1:9" x14ac:dyDescent="0.25">
      <c r="A59" s="44" t="s">
        <v>79</v>
      </c>
      <c r="B59" s="54"/>
      <c r="C59" s="79"/>
    </row>
    <row r="60" spans="1:9" x14ac:dyDescent="0.25">
      <c r="A60" s="44" t="s">
        <v>80</v>
      </c>
      <c r="B60" s="54"/>
      <c r="C60" s="79"/>
    </row>
    <row r="61" spans="1:9" x14ac:dyDescent="0.25">
      <c r="A61" s="44" t="s">
        <v>124</v>
      </c>
      <c r="B61" s="54"/>
      <c r="C61" s="46"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978.63905495069992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1249.7728490000002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2951.0873039507001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0.68684400199999995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5.4947520159999999E-2</v>
      </c>
    </row>
    <row r="75" spans="1:5" s="1" customFormat="1" x14ac:dyDescent="0.25">
      <c r="A75" s="75" t="s">
        <v>151</v>
      </c>
      <c r="B75" s="45">
        <f>'ES Memória de Cálculo'!B26</f>
        <v>3.4000000000000002E-2</v>
      </c>
      <c r="C75" s="46">
        <f>B75*C$33</f>
        <v>120.37472200000001</v>
      </c>
      <c r="D75" s="329"/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0.68841752777777787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0.2430113873055556</v>
      </c>
    </row>
    <row r="78" spans="1:5" x14ac:dyDescent="0.25">
      <c r="A78" s="75" t="s">
        <v>154</v>
      </c>
      <c r="B78" s="45">
        <f>'ES Memória de Cálculo'!B29</f>
        <v>6.0000000000000001E-3</v>
      </c>
      <c r="C78" s="46">
        <f t="shared" si="1"/>
        <v>21.242598000000001</v>
      </c>
      <c r="D78" s="327"/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143.29054043724335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8" si="2">B83*C$33</f>
        <v>33.634113499999998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0.58220453777777781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0.73759020833333333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220</v>
      </c>
      <c r="B88" s="184"/>
      <c r="C88" s="183">
        <f t="shared" si="2"/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34.953908246111105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12.338729610877223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47.292637856988328</v>
      </c>
      <c r="D91" s="85"/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47.292637856988328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47.292637856988328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uniforme2!I14</f>
        <v>31.625</v>
      </c>
    </row>
    <row r="106" spans="1:3" x14ac:dyDescent="0.25">
      <c r="A106" s="44" t="s">
        <v>218</v>
      </c>
      <c r="B106" s="54"/>
      <c r="C106" s="46">
        <f>Equip!H16</f>
        <v>3.2393749999999999</v>
      </c>
    </row>
    <row r="107" spans="1:3" x14ac:dyDescent="0.25">
      <c r="A107" s="44" t="s">
        <v>343</v>
      </c>
      <c r="B107" s="54"/>
      <c r="C107" s="46"/>
    </row>
    <row r="108" spans="1:3" x14ac:dyDescent="0.25">
      <c r="A108" s="44" t="s">
        <v>212</v>
      </c>
      <c r="B108" s="54"/>
      <c r="C108" s="46"/>
    </row>
    <row r="109" spans="1:3" x14ac:dyDescent="0.25">
      <c r="A109" s="153" t="s">
        <v>14</v>
      </c>
      <c r="B109" s="71"/>
      <c r="C109" s="58">
        <f>SUM(C105:C108)</f>
        <v>34.864375000000003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v>0.01</v>
      </c>
      <c r="C113" s="46">
        <f>C129*B113</f>
        <v>67.169678572449314</v>
      </c>
      <c r="D113" s="85"/>
      <c r="E113" s="158"/>
    </row>
    <row r="114" spans="1:5" x14ac:dyDescent="0.25">
      <c r="A114" s="44" t="s">
        <v>21</v>
      </c>
      <c r="B114" s="45">
        <v>1.2E-2</v>
      </c>
      <c r="C114" s="46">
        <f>(C129+C113)*B114</f>
        <v>81.409650429808565</v>
      </c>
      <c r="E114" s="158"/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650.10381128667962</v>
      </c>
      <c r="E115" s="158"/>
    </row>
    <row r="116" spans="1:5" x14ac:dyDescent="0.25">
      <c r="A116" s="44" t="s">
        <v>120</v>
      </c>
      <c r="B116" s="102">
        <v>3.6499999999999998E-2</v>
      </c>
      <c r="C116" s="103">
        <f ca="1">C131*B116</f>
        <v>274.32126140998616</v>
      </c>
    </row>
    <row r="117" spans="1:5" x14ac:dyDescent="0.25">
      <c r="A117" s="44" t="s">
        <v>23</v>
      </c>
      <c r="B117" s="102">
        <v>0</v>
      </c>
      <c r="C117" s="103"/>
      <c r="E117" s="158"/>
    </row>
    <row r="118" spans="1:5" x14ac:dyDescent="0.25">
      <c r="A118" s="44" t="s">
        <v>24</v>
      </c>
      <c r="B118" s="102">
        <v>0.05</v>
      </c>
      <c r="C118" s="103">
        <f ca="1">C133*B118</f>
        <v>751.5650997533869</v>
      </c>
      <c r="E118" s="158"/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798.68314028893747</v>
      </c>
      <c r="E120" s="158"/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3540.433</v>
      </c>
    </row>
    <row r="125" spans="1:5" x14ac:dyDescent="0.25">
      <c r="A125" s="453" t="s">
        <v>53</v>
      </c>
      <c r="B125" s="453"/>
      <c r="C125" s="60">
        <f>C69</f>
        <v>2951.0873039507001</v>
      </c>
    </row>
    <row r="126" spans="1:5" x14ac:dyDescent="0.25">
      <c r="A126" s="453" t="s">
        <v>54</v>
      </c>
      <c r="B126" s="453"/>
      <c r="C126" s="60">
        <f>C79</f>
        <v>143.29054043724335</v>
      </c>
    </row>
    <row r="127" spans="1:5" x14ac:dyDescent="0.25">
      <c r="A127" s="453" t="s">
        <v>55</v>
      </c>
      <c r="B127" s="453"/>
      <c r="C127" s="60">
        <f>C101</f>
        <v>47.292637856988328</v>
      </c>
    </row>
    <row r="128" spans="1:5" x14ac:dyDescent="0.25">
      <c r="A128" s="453" t="s">
        <v>56</v>
      </c>
      <c r="B128" s="453"/>
      <c r="C128" s="60">
        <f>C109</f>
        <v>34.864375000000003</v>
      </c>
    </row>
    <row r="129" spans="1:5" x14ac:dyDescent="0.25">
      <c r="A129" s="454" t="s">
        <v>58</v>
      </c>
      <c r="B129" s="454"/>
      <c r="C129" s="60">
        <f>SUM(C124:C128)</f>
        <v>6716.9678572449311</v>
      </c>
    </row>
    <row r="130" spans="1:5" x14ac:dyDescent="0.25">
      <c r="A130" s="453" t="s">
        <v>57</v>
      </c>
      <c r="B130" s="453"/>
      <c r="C130" s="60">
        <f ca="1">C120</f>
        <v>798.68314028893747</v>
      </c>
    </row>
    <row r="131" spans="1:5" ht="15.75" customHeight="1" x14ac:dyDescent="0.25">
      <c r="A131" s="450" t="s">
        <v>30</v>
      </c>
      <c r="B131" s="450"/>
      <c r="C131" s="58">
        <f ca="1">SUM(C129:C130)</f>
        <v>7515.6509975338686</v>
      </c>
      <c r="D131" s="85"/>
      <c r="E131" s="85">
        <f ca="1">C131*2</f>
        <v>15031.301995067737</v>
      </c>
    </row>
    <row r="132" spans="1:5" x14ac:dyDescent="0.25">
      <c r="A132" s="455"/>
      <c r="B132" s="456"/>
      <c r="C132" s="457"/>
    </row>
    <row r="133" spans="1:5" ht="15.75" customHeight="1" x14ac:dyDescent="0.25">
      <c r="A133" s="450" t="s">
        <v>71</v>
      </c>
      <c r="B133" s="450"/>
      <c r="C133" s="58">
        <f ca="1">C131*2</f>
        <v>15031.301995067737</v>
      </c>
      <c r="E133" s="85"/>
    </row>
    <row r="134" spans="1:5" x14ac:dyDescent="0.25">
      <c r="B134" s="35"/>
      <c r="C134" s="35"/>
    </row>
    <row r="135" spans="1:5" x14ac:dyDescent="0.25">
      <c r="B135" s="35"/>
      <c r="C135" s="35"/>
    </row>
    <row r="136" spans="1:5" x14ac:dyDescent="0.25">
      <c r="B136" s="35"/>
      <c r="C136" s="35"/>
    </row>
    <row r="137" spans="1:5" x14ac:dyDescent="0.25">
      <c r="B137" s="35"/>
      <c r="C137" s="35"/>
    </row>
    <row r="138" spans="1:5" x14ac:dyDescent="0.25">
      <c r="B138" s="35"/>
      <c r="C138" s="35"/>
    </row>
    <row r="139" spans="1:5" x14ac:dyDescent="0.25">
      <c r="B139" s="35"/>
      <c r="C139" s="35"/>
    </row>
    <row r="140" spans="1:5" x14ac:dyDescent="0.25">
      <c r="B140" s="35"/>
      <c r="C140" s="35"/>
    </row>
    <row r="141" spans="1:5" x14ac:dyDescent="0.25">
      <c r="B141" s="35"/>
      <c r="C141" s="35"/>
    </row>
    <row r="142" spans="1:5" x14ac:dyDescent="0.25">
      <c r="B142" s="35"/>
      <c r="C142" s="35"/>
    </row>
    <row r="143" spans="1:5" x14ac:dyDescent="0.25">
      <c r="A143" s="38"/>
      <c r="B143" s="35"/>
      <c r="C143" s="35"/>
    </row>
    <row r="144" spans="1:5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25"/>
  <sheetViews>
    <sheetView topLeftCell="A16" workbookViewId="0">
      <selection activeCell="C29" sqref="C29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9.42578125" style="35" bestFit="1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Proposta!C26</f>
        <v>Vigilância Desarmada Diurna Motorizada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Desarmada Diurna Motorizada</v>
      </c>
      <c r="B13" s="152" t="s">
        <v>95</v>
      </c>
      <c r="C13" s="84">
        <f>Proposta!E26</f>
        <v>2</v>
      </c>
    </row>
    <row r="14" spans="1:5" s="41" customFormat="1" ht="18.75" customHeight="1" x14ac:dyDescent="0.25">
      <c r="A14" s="433" t="s">
        <v>96</v>
      </c>
      <c r="B14" s="433"/>
      <c r="C14" s="84">
        <f>SUM(C13)</f>
        <v>2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311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'1-DD'!B20:C20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'1-DD'!B22:C22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</row>
    <row r="28" spans="1:9" x14ac:dyDescent="0.25">
      <c r="A28" s="44" t="s">
        <v>312</v>
      </c>
      <c r="B28" s="45"/>
      <c r="C28" s="46">
        <f>(C26+C27)*10%</f>
        <v>354.04330000000004</v>
      </c>
    </row>
    <row r="29" spans="1:9" x14ac:dyDescent="0.25">
      <c r="A29" s="44" t="s">
        <v>9</v>
      </c>
      <c r="B29" s="45"/>
      <c r="C29" s="46"/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60</v>
      </c>
      <c r="B31" s="45"/>
      <c r="C31" s="46">
        <v>0</v>
      </c>
    </row>
    <row r="32" spans="1:9" s="36" customFormat="1" x14ac:dyDescent="0.25">
      <c r="A32" s="77" t="s">
        <v>72</v>
      </c>
      <c r="B32" s="45"/>
      <c r="C32" s="79"/>
    </row>
    <row r="33" spans="1:9" x14ac:dyDescent="0.25">
      <c r="A33" s="56" t="s">
        <v>11</v>
      </c>
      <c r="B33" s="57"/>
      <c r="C33" s="58">
        <f>SUM(C26:C32)</f>
        <v>3894.4763000000003</v>
      </c>
      <c r="D33" s="36"/>
      <c r="E33" s="85">
        <f>C33*32.03%</f>
        <v>1247.4007588900001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324.40987579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471.2316323</v>
      </c>
    </row>
    <row r="40" spans="1:9" x14ac:dyDescent="0.25">
      <c r="A40" s="67" t="s">
        <v>69</v>
      </c>
      <c r="B40" s="131">
        <f>SUM(B38:B39)</f>
        <v>0.20429999999999998</v>
      </c>
      <c r="C40" s="68">
        <f>SUM(C38:C39)</f>
        <v>795.64150809</v>
      </c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280.86145235577004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1076.50296044577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 t="shared" ref="C45:C52" si="0">B45*C$33</f>
        <v>778.89526000000012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si="0"/>
        <v>97.361907500000015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58.417144499999999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58.417144499999999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38.944763000000002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23.366857800000002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7.7889526000000009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311.55810400000001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1374.7501338999998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165</v>
      </c>
      <c r="B57" s="54">
        <f>'1-DD'!B57</f>
        <v>47.37</v>
      </c>
      <c r="C57" s="46">
        <f>B57*15</f>
        <v>710.55</v>
      </c>
      <c r="D57" s="160">
        <f>39.29*2%</f>
        <v>0.78580000000000005</v>
      </c>
    </row>
    <row r="58" spans="1:9" x14ac:dyDescent="0.25">
      <c r="A58" s="44" t="s">
        <v>12</v>
      </c>
      <c r="B58" s="54"/>
      <c r="C58" s="79">
        <f>'1-DD'!C58</f>
        <v>0</v>
      </c>
    </row>
    <row r="59" spans="1:9" x14ac:dyDescent="0.25">
      <c r="A59" s="44" t="s">
        <v>79</v>
      </c>
      <c r="B59" s="54"/>
      <c r="C59" s="79">
        <f>'1-DD'!C59</f>
        <v>0</v>
      </c>
    </row>
    <row r="60" spans="1:9" x14ac:dyDescent="0.25">
      <c r="A60" s="44" t="s">
        <v>80</v>
      </c>
      <c r="B60" s="54"/>
      <c r="C60" s="79">
        <f>'1-DD'!C60</f>
        <v>0</v>
      </c>
    </row>
    <row r="61" spans="1:9" x14ac:dyDescent="0.25">
      <c r="A61" s="44" t="s">
        <v>124</v>
      </c>
      <c r="B61" s="54"/>
      <c r="C61" s="79"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1076.50296044577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1374.7501338999998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3173.9284943457696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0.75552840220000006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6.0442272176000005E-2</v>
      </c>
    </row>
    <row r="75" spans="1:5" s="1" customFormat="1" x14ac:dyDescent="0.25">
      <c r="A75" s="75" t="s">
        <v>151</v>
      </c>
      <c r="B75" s="45">
        <f>'ES Memória de Cálculo'!B26</f>
        <v>3.4000000000000002E-2</v>
      </c>
      <c r="C75" s="46">
        <f>B75*C$33</f>
        <v>132.41219420000002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0.75725928055555569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0.26731252603611116</v>
      </c>
    </row>
    <row r="78" spans="1:5" x14ac:dyDescent="0.25">
      <c r="A78" s="75" t="s">
        <v>154</v>
      </c>
      <c r="B78" s="45">
        <f>'ES Memória de Cálculo'!B29</f>
        <v>6.0000000000000001E-3</v>
      </c>
      <c r="C78" s="46">
        <f t="shared" si="1"/>
        <v>23.366857800000002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157.61959448096766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8" si="2">B83*C$33</f>
        <v>36.997524850000005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0.64042499155555566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0.81134922916666663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220</v>
      </c>
      <c r="B88" s="184"/>
      <c r="C88" s="183">
        <f t="shared" si="2"/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38.449299070722226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13.572602571964946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52.021901642687169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52.021901642687169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52.021901642687169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uniforme2!I30</f>
        <v>32.875</v>
      </c>
    </row>
    <row r="106" spans="1:3" x14ac:dyDescent="0.25">
      <c r="A106" s="44" t="s">
        <v>218</v>
      </c>
      <c r="B106" s="54"/>
      <c r="C106" s="46">
        <f>Equip!H16</f>
        <v>3.2393749999999999</v>
      </c>
    </row>
    <row r="107" spans="1:3" x14ac:dyDescent="0.25">
      <c r="A107" s="44" t="s">
        <v>331</v>
      </c>
      <c r="B107" s="54"/>
      <c r="C107" s="46">
        <f>Moto!G9</f>
        <v>298.38333333333333</v>
      </c>
    </row>
    <row r="108" spans="1:3" x14ac:dyDescent="0.25">
      <c r="A108" s="44" t="s">
        <v>212</v>
      </c>
      <c r="B108" s="54"/>
      <c r="C108" s="46"/>
    </row>
    <row r="109" spans="1:3" x14ac:dyDescent="0.25">
      <c r="A109" s="153" t="s">
        <v>14</v>
      </c>
      <c r="B109" s="71"/>
      <c r="C109" s="58">
        <f>SUM(C105:C108)</f>
        <v>334.49770833333332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'1-DD'!B113</f>
        <v>0.01</v>
      </c>
      <c r="C113" s="46">
        <f>C129*B113</f>
        <v>76.12543998802758</v>
      </c>
      <c r="D113" s="85"/>
      <c r="E113" s="158"/>
    </row>
    <row r="114" spans="1:5" x14ac:dyDescent="0.25">
      <c r="A114" s="44" t="s">
        <v>21</v>
      </c>
      <c r="B114" s="45">
        <f>'1-DD'!B114</f>
        <v>1.2E-2</v>
      </c>
      <c r="C114" s="46">
        <f>(C129+C113)*B114</f>
        <v>92.264033265489431</v>
      </c>
      <c r="E114" s="158"/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736.78242510439816</v>
      </c>
      <c r="E115" s="158"/>
    </row>
    <row r="116" spans="1:5" x14ac:dyDescent="0.25">
      <c r="A116" s="44" t="s">
        <v>120</v>
      </c>
      <c r="B116" s="102">
        <v>3.6499999999999998E-2</v>
      </c>
      <c r="C116" s="103">
        <f ca="1">C131*B116</f>
        <v>310.89663024636457</v>
      </c>
    </row>
    <row r="117" spans="1:5" x14ac:dyDescent="0.25">
      <c r="A117" s="44" t="s">
        <v>23</v>
      </c>
      <c r="B117" s="102">
        <v>0</v>
      </c>
      <c r="C117" s="103"/>
      <c r="E117" s="158"/>
    </row>
    <row r="118" spans="1:5" x14ac:dyDescent="0.25">
      <c r="A118" s="44" t="s">
        <v>24</v>
      </c>
      <c r="B118" s="102">
        <v>0.05</v>
      </c>
      <c r="C118" s="103">
        <f ca="1">C133*B118</f>
        <v>851.77158971606741</v>
      </c>
      <c r="E118" s="158"/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905.1718983579151</v>
      </c>
      <c r="E120" s="158"/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3894.4763000000003</v>
      </c>
    </row>
    <row r="125" spans="1:5" x14ac:dyDescent="0.25">
      <c r="A125" s="453" t="s">
        <v>53</v>
      </c>
      <c r="B125" s="453"/>
      <c r="C125" s="60">
        <f>C69</f>
        <v>3173.9284943457696</v>
      </c>
    </row>
    <row r="126" spans="1:5" x14ac:dyDescent="0.25">
      <c r="A126" s="453" t="s">
        <v>54</v>
      </c>
      <c r="B126" s="453"/>
      <c r="C126" s="60">
        <f>C79</f>
        <v>157.61959448096766</v>
      </c>
    </row>
    <row r="127" spans="1:5" x14ac:dyDescent="0.25">
      <c r="A127" s="453" t="s">
        <v>55</v>
      </c>
      <c r="B127" s="453"/>
      <c r="C127" s="60">
        <f>C101</f>
        <v>52.021901642687169</v>
      </c>
    </row>
    <row r="128" spans="1:5" x14ac:dyDescent="0.25">
      <c r="A128" s="453" t="s">
        <v>56</v>
      </c>
      <c r="B128" s="453"/>
      <c r="C128" s="60">
        <f>C109</f>
        <v>334.49770833333332</v>
      </c>
    </row>
    <row r="129" spans="1:5" x14ac:dyDescent="0.25">
      <c r="A129" s="454" t="s">
        <v>58</v>
      </c>
      <c r="B129" s="454"/>
      <c r="C129" s="60">
        <f>SUM(C124:C128)</f>
        <v>7612.5439988027583</v>
      </c>
    </row>
    <row r="130" spans="1:5" x14ac:dyDescent="0.25">
      <c r="A130" s="453" t="s">
        <v>57</v>
      </c>
      <c r="B130" s="453"/>
      <c r="C130" s="60">
        <f ca="1">C120</f>
        <v>905.1718983579151</v>
      </c>
    </row>
    <row r="131" spans="1:5" ht="15.75" customHeight="1" x14ac:dyDescent="0.25">
      <c r="A131" s="450" t="s">
        <v>30</v>
      </c>
      <c r="B131" s="450"/>
      <c r="C131" s="58">
        <f ca="1">SUM(C129:C130)</f>
        <v>8517.7158971606732</v>
      </c>
      <c r="D131" s="85">
        <f ca="1">(C124+C125+C126+C127+C128+C130)/C124</f>
        <v>2.1871274186880205</v>
      </c>
    </row>
    <row r="132" spans="1:5" x14ac:dyDescent="0.25">
      <c r="A132" s="455"/>
      <c r="B132" s="456"/>
      <c r="C132" s="457"/>
    </row>
    <row r="133" spans="1:5" ht="15.75" customHeight="1" x14ac:dyDescent="0.25">
      <c r="A133" s="450" t="s">
        <v>71</v>
      </c>
      <c r="B133" s="450"/>
      <c r="C133" s="58">
        <f ca="1">C131*2</f>
        <v>17035.431794321346</v>
      </c>
      <c r="E133" s="85"/>
    </row>
    <row r="134" spans="1:5" x14ac:dyDescent="0.25">
      <c r="B134" s="35"/>
      <c r="C134" s="35"/>
    </row>
    <row r="135" spans="1:5" x14ac:dyDescent="0.25">
      <c r="B135" s="35"/>
      <c r="C135" s="35"/>
    </row>
    <row r="136" spans="1:5" x14ac:dyDescent="0.25">
      <c r="B136" s="35"/>
      <c r="C136" s="35"/>
    </row>
    <row r="137" spans="1:5" x14ac:dyDescent="0.25">
      <c r="B137" s="35"/>
      <c r="C137" s="35"/>
    </row>
    <row r="138" spans="1:5" x14ac:dyDescent="0.25">
      <c r="B138" s="35"/>
      <c r="C138" s="35"/>
    </row>
    <row r="139" spans="1:5" x14ac:dyDescent="0.25">
      <c r="B139" s="35"/>
      <c r="C139" s="35"/>
    </row>
    <row r="140" spans="1:5" x14ac:dyDescent="0.25">
      <c r="B140" s="35"/>
      <c r="C140" s="35"/>
    </row>
    <row r="141" spans="1:5" x14ac:dyDescent="0.25">
      <c r="B141" s="35"/>
      <c r="C141" s="35"/>
    </row>
    <row r="142" spans="1:5" x14ac:dyDescent="0.25">
      <c r="B142" s="35"/>
      <c r="C142" s="35"/>
    </row>
    <row r="143" spans="1:5" x14ac:dyDescent="0.25">
      <c r="A143" s="38"/>
      <c r="B143" s="35"/>
      <c r="C143" s="35"/>
    </row>
    <row r="144" spans="1:5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25"/>
  <sheetViews>
    <sheetView topLeftCell="A16" workbookViewId="0">
      <selection activeCell="A23" sqref="A23:C23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3.140625" style="35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Proposta!C27</f>
        <v>Vigilância Desarmada Diurna (Monitoramento)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Desarmada Diurna (Monitoramento)</v>
      </c>
      <c r="B13" s="152" t="s">
        <v>95</v>
      </c>
      <c r="C13" s="84">
        <f>Proposta!E27</f>
        <v>1</v>
      </c>
    </row>
    <row r="14" spans="1:5" s="41" customFormat="1" ht="18.75" customHeight="1" x14ac:dyDescent="0.25">
      <c r="A14" s="433" t="s">
        <v>96</v>
      </c>
      <c r="B14" s="433"/>
      <c r="C14" s="84">
        <f>SUM(C13)</f>
        <v>1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'2-DDM 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'2-DDM 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  <c r="E27" s="35">
        <f>(C26+C27)/220*0.2*105</f>
        <v>337.95042272727272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/>
      <c r="E29" s="35">
        <v>8</v>
      </c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60</v>
      </c>
      <c r="B31" s="45"/>
      <c r="C31" s="46">
        <v>0</v>
      </c>
    </row>
    <row r="32" spans="1:9" s="36" customFormat="1" x14ac:dyDescent="0.25">
      <c r="A32" s="77" t="s">
        <v>72</v>
      </c>
      <c r="B32" s="45"/>
      <c r="C32" s="79"/>
    </row>
    <row r="33" spans="1:9" x14ac:dyDescent="0.25">
      <c r="A33" s="56" t="s">
        <v>11</v>
      </c>
      <c r="B33" s="57"/>
      <c r="C33" s="58">
        <f>SUM(C26:C32)</f>
        <v>3540.433</v>
      </c>
      <c r="D33" s="330">
        <f>C33*32.03%</f>
        <v>1134.0006899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294.91806889999998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428.39239299999997</v>
      </c>
    </row>
    <row r="40" spans="1:9" x14ac:dyDescent="0.25">
      <c r="A40" s="88" t="s">
        <v>69</v>
      </c>
      <c r="B40" s="101">
        <f>SUM(B38:B39)</f>
        <v>0.20429999999999998</v>
      </c>
      <c r="C40" s="89">
        <f>SUM(C38:C39)</f>
        <v>723.31046189999995</v>
      </c>
      <c r="D40" s="36"/>
      <c r="E40" s="100"/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255.32859305069999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978.63905495069992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>B45*C$33</f>
        <v>708.08660000000009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ref="C46:C52" si="0">B46*C$33</f>
        <v>88.510825000000011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53.106494999999995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53.106494999999995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35.404330000000002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21.242598000000001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7.0808660000000003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283.23464000000001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1249.7728490000002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f>'2-DDM '!B56</f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166</v>
      </c>
      <c r="B57" s="54">
        <f>'2-DDM '!B57</f>
        <v>47.37</v>
      </c>
      <c r="C57" s="46">
        <f>B57*15</f>
        <v>710.55</v>
      </c>
    </row>
    <row r="58" spans="1:9" x14ac:dyDescent="0.25">
      <c r="A58" s="44" t="s">
        <v>12</v>
      </c>
      <c r="B58" s="54"/>
      <c r="C58" s="159">
        <f>'2-DDM '!C58</f>
        <v>0</v>
      </c>
    </row>
    <row r="59" spans="1:9" x14ac:dyDescent="0.25">
      <c r="A59" s="44" t="s">
        <v>79</v>
      </c>
      <c r="B59" s="54"/>
      <c r="C59" s="159">
        <f>'2-DDM '!C59</f>
        <v>0</v>
      </c>
    </row>
    <row r="60" spans="1:9" x14ac:dyDescent="0.25">
      <c r="A60" s="44" t="s">
        <v>80</v>
      </c>
      <c r="B60" s="54"/>
      <c r="C60" s="46">
        <f>'2-DDM '!C60</f>
        <v>0</v>
      </c>
    </row>
    <row r="61" spans="1:9" x14ac:dyDescent="0.25">
      <c r="A61" s="44" t="s">
        <v>124</v>
      </c>
      <c r="B61" s="54"/>
      <c r="C61" s="46">
        <f>'2-DDM '!C61</f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978.63905495069992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1249.7728490000002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2951.0873039507001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0.68684400199999995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5.4947520159999999E-2</v>
      </c>
    </row>
    <row r="75" spans="1:5" s="1" customFormat="1" x14ac:dyDescent="0.25">
      <c r="A75" s="75" t="s">
        <v>151</v>
      </c>
      <c r="B75" s="76">
        <f>'ES Memória de Cálculo'!B26</f>
        <v>3.4000000000000002E-2</v>
      </c>
      <c r="C75" s="46">
        <f>B75*C$33</f>
        <v>120.37472200000001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0.68841752777777787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0.2430113873055556</v>
      </c>
    </row>
    <row r="78" spans="1:5" x14ac:dyDescent="0.25">
      <c r="A78" s="75" t="s">
        <v>154</v>
      </c>
      <c r="B78" s="76">
        <f>'ES Memória de Cálculo'!B29</f>
        <v>6.0000000000000001E-3</v>
      </c>
      <c r="C78" s="46">
        <f t="shared" si="1"/>
        <v>21.242598000000001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143.29054043724335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7" si="2">B83*C$33</f>
        <v>33.634113499999998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0.58220453777777781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0.73759020833333333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164</v>
      </c>
      <c r="B88" s="184"/>
      <c r="C88" s="183">
        <f>B88*C$33</f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34.953908246111105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12.338729610877223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47.292637856988328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47.292637856988328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47.292637856988328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uniforme2!I14</f>
        <v>31.625</v>
      </c>
    </row>
    <row r="106" spans="1:3" x14ac:dyDescent="0.25">
      <c r="A106" s="44" t="s">
        <v>219</v>
      </c>
      <c r="B106" s="54"/>
      <c r="C106" s="46">
        <f>'2-DDM '!C106</f>
        <v>3.2393749999999999</v>
      </c>
    </row>
    <row r="107" spans="1:3" x14ac:dyDescent="0.25">
      <c r="A107" s="44" t="s">
        <v>343</v>
      </c>
      <c r="B107" s="54"/>
      <c r="C107" s="46"/>
    </row>
    <row r="108" spans="1:3" x14ac:dyDescent="0.25">
      <c r="A108" s="44" t="s">
        <v>212</v>
      </c>
      <c r="B108" s="54"/>
      <c r="C108" s="46"/>
    </row>
    <row r="109" spans="1:3" x14ac:dyDescent="0.25">
      <c r="A109" s="153" t="s">
        <v>14</v>
      </c>
      <c r="B109" s="71"/>
      <c r="C109" s="58">
        <f>SUM(C105:C108)</f>
        <v>34.864375000000003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'2-DDM '!B113</f>
        <v>0.01</v>
      </c>
      <c r="C113" s="46">
        <f>C129*B113</f>
        <v>67.169678572449314</v>
      </c>
      <c r="D113" s="85"/>
    </row>
    <row r="114" spans="1:5" x14ac:dyDescent="0.25">
      <c r="A114" s="44" t="s">
        <v>21</v>
      </c>
      <c r="B114" s="45">
        <f>'2-DDM '!B114</f>
        <v>1.2E-2</v>
      </c>
      <c r="C114" s="46">
        <f>(C129+C113)*B114</f>
        <v>81.409650429808565</v>
      </c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650.10381128667962</v>
      </c>
    </row>
    <row r="116" spans="1:5" x14ac:dyDescent="0.25">
      <c r="A116" s="44" t="s">
        <v>120</v>
      </c>
      <c r="B116" s="102">
        <v>3.6499999999999998E-2</v>
      </c>
      <c r="C116" s="103">
        <f ca="1">C131*B116</f>
        <v>274.32126140998616</v>
      </c>
      <c r="E116" s="158"/>
    </row>
    <row r="117" spans="1:5" x14ac:dyDescent="0.25">
      <c r="A117" s="44" t="s">
        <v>23</v>
      </c>
      <c r="B117" s="102">
        <v>0</v>
      </c>
      <c r="C117" s="103"/>
      <c r="E117" s="160"/>
    </row>
    <row r="118" spans="1:5" x14ac:dyDescent="0.25">
      <c r="A118" s="44" t="s">
        <v>24</v>
      </c>
      <c r="B118" s="102">
        <v>0.05</v>
      </c>
      <c r="C118" s="103">
        <f ca="1">C131*B118</f>
        <v>375.78254987669345</v>
      </c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798.68314028893747</v>
      </c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3540.433</v>
      </c>
    </row>
    <row r="125" spans="1:5" x14ac:dyDescent="0.25">
      <c r="A125" s="453" t="s">
        <v>53</v>
      </c>
      <c r="B125" s="453"/>
      <c r="C125" s="60">
        <f>C69</f>
        <v>2951.0873039507001</v>
      </c>
    </row>
    <row r="126" spans="1:5" x14ac:dyDescent="0.25">
      <c r="A126" s="453" t="s">
        <v>54</v>
      </c>
      <c r="B126" s="453"/>
      <c r="C126" s="60">
        <f>C79</f>
        <v>143.29054043724335</v>
      </c>
    </row>
    <row r="127" spans="1:5" x14ac:dyDescent="0.25">
      <c r="A127" s="453" t="s">
        <v>55</v>
      </c>
      <c r="B127" s="453"/>
      <c r="C127" s="60">
        <f>C101</f>
        <v>47.292637856988328</v>
      </c>
    </row>
    <row r="128" spans="1:5" x14ac:dyDescent="0.25">
      <c r="A128" s="453" t="s">
        <v>56</v>
      </c>
      <c r="B128" s="453"/>
      <c r="C128" s="60">
        <f>C109</f>
        <v>34.864375000000003</v>
      </c>
    </row>
    <row r="129" spans="1:4" x14ac:dyDescent="0.25">
      <c r="A129" s="454" t="s">
        <v>58</v>
      </c>
      <c r="B129" s="454"/>
      <c r="C129" s="60">
        <f>SUM(C124:C128)</f>
        <v>6716.9678572449311</v>
      </c>
    </row>
    <row r="130" spans="1:4" x14ac:dyDescent="0.25">
      <c r="A130" s="453" t="s">
        <v>57</v>
      </c>
      <c r="B130" s="453"/>
      <c r="C130" s="60">
        <f ca="1">C120</f>
        <v>798.68314028893747</v>
      </c>
    </row>
    <row r="131" spans="1:4" ht="15.75" customHeight="1" x14ac:dyDescent="0.25">
      <c r="A131" s="450" t="s">
        <v>30</v>
      </c>
      <c r="B131" s="450"/>
      <c r="C131" s="58">
        <f ca="1">SUM(C129:C130)</f>
        <v>7515.6509975338686</v>
      </c>
      <c r="D131" s="85">
        <f ca="1">(C124+C125+C126+C127+C128+C130)/C124</f>
        <v>2.1228055996353747</v>
      </c>
    </row>
    <row r="132" spans="1:4" x14ac:dyDescent="0.25">
      <c r="A132" s="455"/>
      <c r="B132" s="456"/>
      <c r="C132" s="457"/>
    </row>
    <row r="133" spans="1:4" ht="15.75" customHeight="1" x14ac:dyDescent="0.25">
      <c r="A133" s="450" t="s">
        <v>71</v>
      </c>
      <c r="B133" s="450"/>
      <c r="C133" s="58">
        <f ca="1">C131*2</f>
        <v>15031.301995067737</v>
      </c>
    </row>
    <row r="134" spans="1:4" x14ac:dyDescent="0.25">
      <c r="B134" s="35"/>
      <c r="C134" s="35"/>
    </row>
    <row r="135" spans="1:4" x14ac:dyDescent="0.25">
      <c r="B135" s="35"/>
      <c r="C135" s="35"/>
    </row>
    <row r="136" spans="1:4" x14ac:dyDescent="0.25">
      <c r="B136" s="35"/>
      <c r="C136" s="35"/>
    </row>
    <row r="137" spans="1:4" x14ac:dyDescent="0.25">
      <c r="B137" s="35"/>
      <c r="C137" s="35"/>
    </row>
    <row r="138" spans="1:4" x14ac:dyDescent="0.25">
      <c r="B138" s="35"/>
      <c r="C138" s="35"/>
    </row>
    <row r="139" spans="1:4" x14ac:dyDescent="0.25">
      <c r="B139" s="35"/>
      <c r="C139" s="35"/>
    </row>
    <row r="140" spans="1:4" x14ac:dyDescent="0.25">
      <c r="B140" s="35"/>
      <c r="C140" s="35"/>
    </row>
    <row r="141" spans="1:4" x14ac:dyDescent="0.25">
      <c r="B141" s="35"/>
      <c r="C141" s="35"/>
    </row>
    <row r="142" spans="1:4" x14ac:dyDescent="0.25">
      <c r="B142" s="35"/>
      <c r="C142" s="35"/>
    </row>
    <row r="143" spans="1:4" x14ac:dyDescent="0.25">
      <c r="A143" s="38"/>
      <c r="B143" s="35"/>
      <c r="C143" s="35"/>
    </row>
    <row r="144" spans="1:4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25"/>
  <sheetViews>
    <sheetView topLeftCell="A19" workbookViewId="0">
      <selection activeCell="C30" sqref="C30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1.28515625" style="35" bestFit="1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Proposta!C28</f>
        <v>Vigilância Armada Noturna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Armada Noturna</v>
      </c>
      <c r="B13" s="152" t="s">
        <v>95</v>
      </c>
      <c r="C13" s="84">
        <f>Proposta!E28</f>
        <v>10</v>
      </c>
    </row>
    <row r="14" spans="1:5" s="41" customFormat="1" ht="18.75" customHeight="1" x14ac:dyDescent="0.25">
      <c r="A14" s="433" t="s">
        <v>96</v>
      </c>
      <c r="B14" s="433"/>
      <c r="C14" s="84">
        <f>SUM(C13)</f>
        <v>10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'3-DDMon'!B20:C20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'3-DDMon'!B22:C22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>
        <f>(C26+C27)/220*0.2*8*15</f>
        <v>386.22905454545457</v>
      </c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276</v>
      </c>
      <c r="B31" s="45"/>
      <c r="C31" s="46">
        <v>0</v>
      </c>
    </row>
    <row r="32" spans="1:9" s="36" customFormat="1" x14ac:dyDescent="0.25">
      <c r="A32" s="77" t="s">
        <v>72</v>
      </c>
      <c r="B32" s="45"/>
      <c r="C32" s="79"/>
    </row>
    <row r="33" spans="1:9" x14ac:dyDescent="0.25">
      <c r="A33" s="56" t="s">
        <v>11</v>
      </c>
      <c r="B33" s="57"/>
      <c r="C33" s="58">
        <f>SUM(C26:C32)</f>
        <v>3926.6620545454543</v>
      </c>
      <c r="D33" s="330">
        <f>C33*32.03%</f>
        <v>1257.7098560709092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327.09094914363635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475.12610859999995</v>
      </c>
    </row>
    <row r="40" spans="1:9" x14ac:dyDescent="0.25">
      <c r="A40" s="67" t="s">
        <v>69</v>
      </c>
      <c r="B40" s="131">
        <f>SUM(B38:B39)</f>
        <v>0.20429999999999998</v>
      </c>
      <c r="C40" s="68">
        <f>SUM(C38:C39)</f>
        <v>802.21705774363636</v>
      </c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283.1826213835036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1085.39967912714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 t="shared" ref="C45:C52" si="0">B45*C$33</f>
        <v>785.33241090909087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si="0"/>
        <v>98.166551363636358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58.899930818181815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58.899930818181815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39.266620545454543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23.559972327272728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7.8533241090909085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314.13296436363635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1386.1117052545453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165</v>
      </c>
      <c r="B57" s="54">
        <f>'3-DDMon'!B57</f>
        <v>47.37</v>
      </c>
      <c r="C57" s="46">
        <f>B57*15</f>
        <v>710.55</v>
      </c>
      <c r="D57" s="160">
        <f>39.29*2%</f>
        <v>0.78580000000000005</v>
      </c>
    </row>
    <row r="58" spans="1:9" x14ac:dyDescent="0.25">
      <c r="A58" s="44" t="s">
        <v>12</v>
      </c>
      <c r="B58" s="54"/>
      <c r="C58" s="79">
        <f>'3-DDMon'!C58</f>
        <v>0</v>
      </c>
    </row>
    <row r="59" spans="1:9" x14ac:dyDescent="0.25">
      <c r="A59" s="44" t="s">
        <v>79</v>
      </c>
      <c r="B59" s="54"/>
      <c r="C59" s="79">
        <f>'3-DDMon'!C59</f>
        <v>0</v>
      </c>
    </row>
    <row r="60" spans="1:9" x14ac:dyDescent="0.25">
      <c r="A60" s="44" t="s">
        <v>80</v>
      </c>
      <c r="B60" s="54"/>
      <c r="C60" s="79">
        <f>'3-DDMon'!C60</f>
        <v>0</v>
      </c>
    </row>
    <row r="61" spans="1:9" x14ac:dyDescent="0.25">
      <c r="A61" s="44" t="s">
        <v>124</v>
      </c>
      <c r="B61" s="54"/>
      <c r="C61" s="79"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1085.39967912714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1386.1117052545453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3194.1867843816854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0.76177243858181809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6.0941795086545451E-2</v>
      </c>
    </row>
    <row r="75" spans="1:5" s="1" customFormat="1" x14ac:dyDescent="0.25">
      <c r="A75" s="75" t="s">
        <v>151</v>
      </c>
      <c r="B75" s="45">
        <f>'ES Memória de Cálculo'!B26</f>
        <v>3.4000000000000002E-2</v>
      </c>
      <c r="C75" s="46">
        <f>B75*C$33</f>
        <v>133.50650985454547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0.76351762171717175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0.26952172046616163</v>
      </c>
    </row>
    <row r="78" spans="1:5" x14ac:dyDescent="0.25">
      <c r="A78" s="75" t="s">
        <v>154</v>
      </c>
      <c r="B78" s="45">
        <f>'ES Memória de Cálculo'!B29</f>
        <v>6.0000000000000001E-3</v>
      </c>
      <c r="C78" s="46">
        <f t="shared" si="1"/>
        <v>23.559972327272728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158.92223575766991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8" si="2">B83*C$33</f>
        <v>37.303289518181813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0.64571776008080817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0.81805459469696962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220</v>
      </c>
      <c r="B88" s="184"/>
      <c r="C88" s="183">
        <f t="shared" si="2"/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38.767061872959587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13.684772841154738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52.451834714114327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52.451834714114327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52.451834714114327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uniforme2!I14</f>
        <v>31.625</v>
      </c>
    </row>
    <row r="106" spans="1:3" x14ac:dyDescent="0.25">
      <c r="A106" s="44" t="s">
        <v>218</v>
      </c>
      <c r="B106" s="54"/>
      <c r="C106" s="46">
        <f>Equip!H16</f>
        <v>3.2393749999999999</v>
      </c>
    </row>
    <row r="107" spans="1:3" x14ac:dyDescent="0.25">
      <c r="A107" s="44" t="s">
        <v>333</v>
      </c>
      <c r="B107" s="54"/>
      <c r="C107" s="46">
        <f>Equip!H24</f>
        <v>10.416666666666666</v>
      </c>
    </row>
    <row r="108" spans="1:3" x14ac:dyDescent="0.25">
      <c r="A108" s="44" t="s">
        <v>212</v>
      </c>
      <c r="B108" s="54"/>
      <c r="C108" s="46"/>
    </row>
    <row r="109" spans="1:3" x14ac:dyDescent="0.25">
      <c r="A109" s="153" t="s">
        <v>14</v>
      </c>
      <c r="B109" s="71"/>
      <c r="C109" s="58">
        <f>SUM(C105:C108)</f>
        <v>45.281041666666667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'3-DDMon'!B113</f>
        <v>0.01</v>
      </c>
      <c r="C113" s="46">
        <f>C129*B113</f>
        <v>73.775039510655915</v>
      </c>
      <c r="D113" s="85"/>
      <c r="E113" s="158" t="e">
        <f>#REF!</f>
        <v>#REF!</v>
      </c>
    </row>
    <row r="114" spans="1:5" x14ac:dyDescent="0.25">
      <c r="A114" s="44" t="s">
        <v>21</v>
      </c>
      <c r="B114" s="45">
        <f>'3-DDMon'!B114</f>
        <v>1.2E-2</v>
      </c>
      <c r="C114" s="46">
        <f>(C129+C113)*B114</f>
        <v>89.415347886914972</v>
      </c>
      <c r="E114" s="158"/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714.03400139798964</v>
      </c>
      <c r="E115" s="158"/>
    </row>
    <row r="116" spans="1:5" x14ac:dyDescent="0.25">
      <c r="A116" s="44" t="s">
        <v>120</v>
      </c>
      <c r="B116" s="102">
        <v>3.6499999999999998E-2</v>
      </c>
      <c r="C116" s="103">
        <f ca="1">C131*B116</f>
        <v>301.29758440493202</v>
      </c>
    </row>
    <row r="117" spans="1:5" x14ac:dyDescent="0.25">
      <c r="A117" s="44" t="s">
        <v>23</v>
      </c>
      <c r="B117" s="102">
        <v>0</v>
      </c>
      <c r="C117" s="103"/>
      <c r="E117" s="158"/>
    </row>
    <row r="118" spans="1:5" x14ac:dyDescent="0.25">
      <c r="A118" s="44" t="s">
        <v>24</v>
      </c>
      <c r="B118" s="102">
        <v>0.05</v>
      </c>
      <c r="C118" s="103">
        <f ca="1">C133*B118</f>
        <v>825.47283398611535</v>
      </c>
      <c r="E118" s="158"/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877.22438879556057</v>
      </c>
      <c r="E120" s="158"/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3926.6620545454543</v>
      </c>
    </row>
    <row r="125" spans="1:5" x14ac:dyDescent="0.25">
      <c r="A125" s="453" t="s">
        <v>53</v>
      </c>
      <c r="B125" s="453"/>
      <c r="C125" s="60">
        <f>C69</f>
        <v>3194.1867843816854</v>
      </c>
    </row>
    <row r="126" spans="1:5" x14ac:dyDescent="0.25">
      <c r="A126" s="453" t="s">
        <v>54</v>
      </c>
      <c r="B126" s="453"/>
      <c r="C126" s="60">
        <f>C79</f>
        <v>158.92223575766991</v>
      </c>
    </row>
    <row r="127" spans="1:5" x14ac:dyDescent="0.25">
      <c r="A127" s="453" t="s">
        <v>55</v>
      </c>
      <c r="B127" s="453"/>
      <c r="C127" s="60">
        <f>C101</f>
        <v>52.451834714114327</v>
      </c>
    </row>
    <row r="128" spans="1:5" x14ac:dyDescent="0.25">
      <c r="A128" s="453" t="s">
        <v>56</v>
      </c>
      <c r="B128" s="453"/>
      <c r="C128" s="60">
        <f>C109</f>
        <v>45.281041666666667</v>
      </c>
    </row>
    <row r="129" spans="1:5" x14ac:dyDescent="0.25">
      <c r="A129" s="454" t="s">
        <v>58</v>
      </c>
      <c r="B129" s="454"/>
      <c r="C129" s="60">
        <f>SUM(C124:C128)</f>
        <v>7377.5039510655915</v>
      </c>
    </row>
    <row r="130" spans="1:5" x14ac:dyDescent="0.25">
      <c r="A130" s="453" t="s">
        <v>57</v>
      </c>
      <c r="B130" s="453"/>
      <c r="C130" s="60">
        <f ca="1">C120</f>
        <v>877.22438879556057</v>
      </c>
    </row>
    <row r="131" spans="1:5" ht="15.75" customHeight="1" x14ac:dyDescent="0.25">
      <c r="A131" s="450" t="s">
        <v>30</v>
      </c>
      <c r="B131" s="450"/>
      <c r="C131" s="58">
        <f ca="1">SUM(C129:C130)</f>
        <v>8254.7283398611526</v>
      </c>
      <c r="D131" s="85">
        <f ca="1">(C124+C125+C126+C127+C128+C130)/C124</f>
        <v>2.1022253061746383</v>
      </c>
    </row>
    <row r="132" spans="1:5" x14ac:dyDescent="0.25">
      <c r="A132" s="455"/>
      <c r="B132" s="456"/>
      <c r="C132" s="457"/>
    </row>
    <row r="133" spans="1:5" ht="15.75" customHeight="1" x14ac:dyDescent="0.25">
      <c r="A133" s="450" t="s">
        <v>71</v>
      </c>
      <c r="B133" s="450"/>
      <c r="C133" s="58">
        <f ca="1">C131*2</f>
        <v>16509.456679722305</v>
      </c>
      <c r="E133" s="85"/>
    </row>
    <row r="134" spans="1:5" x14ac:dyDescent="0.25">
      <c r="B134" s="35"/>
      <c r="C134" s="35"/>
    </row>
    <row r="135" spans="1:5" x14ac:dyDescent="0.25">
      <c r="B135" s="35"/>
      <c r="C135" s="35"/>
    </row>
    <row r="136" spans="1:5" x14ac:dyDescent="0.25">
      <c r="B136" s="35"/>
      <c r="C136" s="35"/>
    </row>
    <row r="137" spans="1:5" x14ac:dyDescent="0.25">
      <c r="B137" s="35"/>
      <c r="C137" s="35"/>
    </row>
    <row r="138" spans="1:5" x14ac:dyDescent="0.25">
      <c r="B138" s="35"/>
      <c r="C138" s="35"/>
    </row>
    <row r="139" spans="1:5" x14ac:dyDescent="0.25">
      <c r="B139" s="35"/>
      <c r="C139" s="35"/>
    </row>
    <row r="140" spans="1:5" x14ac:dyDescent="0.25">
      <c r="B140" s="35"/>
      <c r="C140" s="35"/>
    </row>
    <row r="141" spans="1:5" x14ac:dyDescent="0.25">
      <c r="B141" s="35"/>
      <c r="C141" s="35"/>
    </row>
    <row r="142" spans="1:5" x14ac:dyDescent="0.25">
      <c r="B142" s="35"/>
      <c r="C142" s="35"/>
    </row>
    <row r="143" spans="1:5" x14ac:dyDescent="0.25">
      <c r="A143" s="38"/>
      <c r="B143" s="35"/>
      <c r="C143" s="35"/>
    </row>
    <row r="144" spans="1:5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25"/>
  <sheetViews>
    <sheetView topLeftCell="A15" workbookViewId="0">
      <selection activeCell="B10" sqref="B10:C10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3.140625" style="35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Proposta!C29</f>
        <v>Vigilância Armada Diurna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Armada Diurna</v>
      </c>
      <c r="B13" s="152" t="s">
        <v>95</v>
      </c>
      <c r="C13" s="84">
        <f>Proposta!E29</f>
        <v>2</v>
      </c>
    </row>
    <row r="14" spans="1:5" s="41" customFormat="1" ht="18.75" customHeight="1" x14ac:dyDescent="0.25">
      <c r="A14" s="433" t="s">
        <v>96</v>
      </c>
      <c r="B14" s="433"/>
      <c r="C14" s="84">
        <f>SUM(C13)</f>
        <v>2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'2-DDM 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'4-AN'!B22:C22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  <c r="E27" s="35">
        <f>(C26+C27)/220*0.2*105</f>
        <v>337.95042272727272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/>
      <c r="E29" s="35">
        <v>8</v>
      </c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276</v>
      </c>
      <c r="B31" s="45"/>
      <c r="C31" s="46"/>
    </row>
    <row r="32" spans="1:9" s="36" customFormat="1" x14ac:dyDescent="0.25">
      <c r="A32" s="77" t="s">
        <v>72</v>
      </c>
      <c r="B32" s="45"/>
      <c r="C32" s="79"/>
    </row>
    <row r="33" spans="1:9" x14ac:dyDescent="0.25">
      <c r="A33" s="56" t="s">
        <v>11</v>
      </c>
      <c r="B33" s="57"/>
      <c r="C33" s="58">
        <f>SUM(C26:C32)</f>
        <v>3540.433</v>
      </c>
      <c r="D33" s="330">
        <f>C33*32.03%</f>
        <v>1134.0006899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294.91806889999998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428.39239299999997</v>
      </c>
    </row>
    <row r="40" spans="1:9" x14ac:dyDescent="0.25">
      <c r="A40" s="88" t="s">
        <v>69</v>
      </c>
      <c r="B40" s="101">
        <f>SUM(B38:B39)</f>
        <v>0.20429999999999998</v>
      </c>
      <c r="C40" s="89">
        <f>SUM(C38:C39)</f>
        <v>723.31046189999995</v>
      </c>
      <c r="D40" s="36"/>
      <c r="E40" s="100"/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255.32859305069999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978.63905495069992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>B45*C$33</f>
        <v>708.08660000000009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ref="C46:C52" si="0">B46*C$33</f>
        <v>88.510825000000011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53.106494999999995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53.106494999999995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35.404330000000002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21.242598000000001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7.0808660000000003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283.23464000000001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1249.7728490000002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f>'2-DDM '!B56</f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166</v>
      </c>
      <c r="B57" s="54">
        <f>'2-DDM '!B57</f>
        <v>47.37</v>
      </c>
      <c r="C57" s="46">
        <f>B57*15</f>
        <v>710.55</v>
      </c>
    </row>
    <row r="58" spans="1:9" x14ac:dyDescent="0.25">
      <c r="A58" s="44" t="s">
        <v>12</v>
      </c>
      <c r="B58" s="54"/>
      <c r="C58" s="159">
        <f>'2-DDM '!C58</f>
        <v>0</v>
      </c>
    </row>
    <row r="59" spans="1:9" x14ac:dyDescent="0.25">
      <c r="A59" s="44" t="s">
        <v>79</v>
      </c>
      <c r="B59" s="54"/>
      <c r="C59" s="159">
        <f>'2-DDM '!C59</f>
        <v>0</v>
      </c>
    </row>
    <row r="60" spans="1:9" x14ac:dyDescent="0.25">
      <c r="A60" s="44" t="s">
        <v>80</v>
      </c>
      <c r="B60" s="54"/>
      <c r="C60" s="46">
        <f>'2-DDM '!C60</f>
        <v>0</v>
      </c>
    </row>
    <row r="61" spans="1:9" x14ac:dyDescent="0.25">
      <c r="A61" s="44" t="s">
        <v>124</v>
      </c>
      <c r="B61" s="54"/>
      <c r="C61" s="46">
        <f>'2-DDM '!C61</f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978.63905495069992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1249.7728490000002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2951.0873039507001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0.68684400199999995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5.4947520159999999E-2</v>
      </c>
    </row>
    <row r="75" spans="1:5" s="1" customFormat="1" x14ac:dyDescent="0.25">
      <c r="A75" s="75" t="s">
        <v>151</v>
      </c>
      <c r="B75" s="76">
        <f>'ES Memória de Cálculo'!B26</f>
        <v>3.4000000000000002E-2</v>
      </c>
      <c r="C75" s="46">
        <f>B75*C$33</f>
        <v>120.37472200000001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0.68841752777777787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0.2430113873055556</v>
      </c>
    </row>
    <row r="78" spans="1:5" x14ac:dyDescent="0.25">
      <c r="A78" s="75" t="s">
        <v>154</v>
      </c>
      <c r="B78" s="76">
        <f>'ES Memória de Cálculo'!B29</f>
        <v>6.0000000000000001E-3</v>
      </c>
      <c r="C78" s="46">
        <f t="shared" si="1"/>
        <v>21.242598000000001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143.29054043724335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7" si="2">B83*C$33</f>
        <v>33.634113499999998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0.58220453777777781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0.73759020833333333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164</v>
      </c>
      <c r="B88" s="184"/>
      <c r="C88" s="183">
        <f>B88*C$33</f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34.953908246111105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12.338729610877223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47.292637856988328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47.292637856988328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47.292637856988328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uniforme2!I14</f>
        <v>31.625</v>
      </c>
    </row>
    <row r="106" spans="1:3" x14ac:dyDescent="0.25">
      <c r="A106" s="44" t="s">
        <v>219</v>
      </c>
      <c r="B106" s="54"/>
      <c r="C106" s="46">
        <f>'2-DDM '!C106</f>
        <v>3.2393749999999999</v>
      </c>
    </row>
    <row r="107" spans="1:3" x14ac:dyDescent="0.25">
      <c r="A107" s="44" t="s">
        <v>333</v>
      </c>
      <c r="B107" s="54"/>
      <c r="C107" s="46">
        <f>Equip!H24</f>
        <v>10.416666666666666</v>
      </c>
    </row>
    <row r="108" spans="1:3" x14ac:dyDescent="0.25">
      <c r="A108" s="44" t="s">
        <v>212</v>
      </c>
      <c r="B108" s="54"/>
      <c r="C108" s="46"/>
    </row>
    <row r="109" spans="1:3" x14ac:dyDescent="0.25">
      <c r="A109" s="153" t="s">
        <v>14</v>
      </c>
      <c r="B109" s="71"/>
      <c r="C109" s="58">
        <f>SUM(C105:C108)</f>
        <v>45.281041666666667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'2-DDM '!B113</f>
        <v>0.01</v>
      </c>
      <c r="C113" s="46">
        <f>C129*B113</f>
        <v>67.273845239115985</v>
      </c>
      <c r="D113" s="85"/>
    </row>
    <row r="114" spans="1:5" x14ac:dyDescent="0.25">
      <c r="A114" s="44" t="s">
        <v>21</v>
      </c>
      <c r="B114" s="45">
        <f>'2-DDM '!B114</f>
        <v>1.2E-2</v>
      </c>
      <c r="C114" s="46">
        <f>(C129+C113)*B114</f>
        <v>81.535900429808564</v>
      </c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651.11199159136845</v>
      </c>
    </row>
    <row r="116" spans="1:5" x14ac:dyDescent="0.25">
      <c r="A116" s="44" t="s">
        <v>120</v>
      </c>
      <c r="B116" s="102">
        <v>3.6499999999999998E-2</v>
      </c>
      <c r="C116" s="103">
        <f ca="1">C131*B116</f>
        <v>274.74667853277401</v>
      </c>
      <c r="E116" s="158"/>
    </row>
    <row r="117" spans="1:5" x14ac:dyDescent="0.25">
      <c r="A117" s="44" t="s">
        <v>23</v>
      </c>
      <c r="B117" s="102">
        <v>0</v>
      </c>
      <c r="C117" s="103"/>
      <c r="E117" s="160"/>
    </row>
    <row r="118" spans="1:5" x14ac:dyDescent="0.25">
      <c r="A118" s="44" t="s">
        <v>24</v>
      </c>
      <c r="B118" s="102">
        <v>0.05</v>
      </c>
      <c r="C118" s="103">
        <f ca="1">C131*B118</f>
        <v>376.36531305859455</v>
      </c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799.92173726029296</v>
      </c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3540.433</v>
      </c>
    </row>
    <row r="125" spans="1:5" x14ac:dyDescent="0.25">
      <c r="A125" s="453" t="s">
        <v>53</v>
      </c>
      <c r="B125" s="453"/>
      <c r="C125" s="60">
        <f>C69</f>
        <v>2951.0873039507001</v>
      </c>
    </row>
    <row r="126" spans="1:5" x14ac:dyDescent="0.25">
      <c r="A126" s="453" t="s">
        <v>54</v>
      </c>
      <c r="B126" s="453"/>
      <c r="C126" s="60">
        <f>C79</f>
        <v>143.29054043724335</v>
      </c>
    </row>
    <row r="127" spans="1:5" x14ac:dyDescent="0.25">
      <c r="A127" s="453" t="s">
        <v>55</v>
      </c>
      <c r="B127" s="453"/>
      <c r="C127" s="60">
        <f>C101</f>
        <v>47.292637856988328</v>
      </c>
    </row>
    <row r="128" spans="1:5" x14ac:dyDescent="0.25">
      <c r="A128" s="453" t="s">
        <v>56</v>
      </c>
      <c r="B128" s="453"/>
      <c r="C128" s="60">
        <f>C109</f>
        <v>45.281041666666667</v>
      </c>
    </row>
    <row r="129" spans="1:4" x14ac:dyDescent="0.25">
      <c r="A129" s="454" t="s">
        <v>58</v>
      </c>
      <c r="B129" s="454"/>
      <c r="C129" s="60">
        <f>SUM(C124:C128)</f>
        <v>6727.3845239115981</v>
      </c>
    </row>
    <row r="130" spans="1:4" x14ac:dyDescent="0.25">
      <c r="A130" s="453" t="s">
        <v>57</v>
      </c>
      <c r="B130" s="453"/>
      <c r="C130" s="60">
        <f ca="1">C120</f>
        <v>799.92173726029296</v>
      </c>
    </row>
    <row r="131" spans="1:4" ht="15.75" customHeight="1" x14ac:dyDescent="0.25">
      <c r="A131" s="450" t="s">
        <v>30</v>
      </c>
      <c r="B131" s="450"/>
      <c r="C131" s="58">
        <f ca="1">SUM(C129:C130)</f>
        <v>7527.3062611718906</v>
      </c>
      <c r="D131" s="85">
        <f ca="1">(C124+C125+C126+C127+C128+C130)/C124</f>
        <v>2.1260976443197457</v>
      </c>
    </row>
    <row r="132" spans="1:4" x14ac:dyDescent="0.25">
      <c r="A132" s="455"/>
      <c r="B132" s="456"/>
      <c r="C132" s="457"/>
    </row>
    <row r="133" spans="1:4" ht="15.75" customHeight="1" x14ac:dyDescent="0.25">
      <c r="A133" s="450" t="s">
        <v>71</v>
      </c>
      <c r="B133" s="450"/>
      <c r="C133" s="58">
        <f ca="1">C131*2</f>
        <v>15054.612522343781</v>
      </c>
    </row>
    <row r="134" spans="1:4" x14ac:dyDescent="0.25">
      <c r="B134" s="35"/>
      <c r="C134" s="35"/>
    </row>
    <row r="135" spans="1:4" x14ac:dyDescent="0.25">
      <c r="B135" s="35"/>
      <c r="C135" s="35"/>
    </row>
    <row r="136" spans="1:4" x14ac:dyDescent="0.25">
      <c r="B136" s="35"/>
      <c r="C136" s="35"/>
    </row>
    <row r="137" spans="1:4" x14ac:dyDescent="0.25">
      <c r="B137" s="35"/>
      <c r="C137" s="35"/>
    </row>
    <row r="138" spans="1:4" x14ac:dyDescent="0.25">
      <c r="B138" s="35"/>
      <c r="C138" s="35"/>
    </row>
    <row r="139" spans="1:4" x14ac:dyDescent="0.25">
      <c r="B139" s="35"/>
      <c r="C139" s="35"/>
    </row>
    <row r="140" spans="1:4" x14ac:dyDescent="0.25">
      <c r="B140" s="35"/>
      <c r="C140" s="35"/>
    </row>
    <row r="141" spans="1:4" x14ac:dyDescent="0.25">
      <c r="B141" s="35"/>
      <c r="C141" s="35"/>
    </row>
    <row r="142" spans="1:4" x14ac:dyDescent="0.25">
      <c r="B142" s="35"/>
      <c r="C142" s="35"/>
    </row>
    <row r="143" spans="1:4" x14ac:dyDescent="0.25">
      <c r="A143" s="38"/>
      <c r="B143" s="35"/>
      <c r="C143" s="35"/>
    </row>
    <row r="144" spans="1:4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workbookViewId="0">
      <selection sqref="A1:I14"/>
    </sheetView>
  </sheetViews>
  <sheetFormatPr defaultRowHeight="15" x14ac:dyDescent="0.25"/>
  <cols>
    <col min="2" max="2" width="24.85546875" customWidth="1"/>
    <col min="4" max="4" width="16.28515625" customWidth="1"/>
    <col min="5" max="5" width="14.140625" customWidth="1"/>
    <col min="6" max="6" width="12.7109375" customWidth="1"/>
    <col min="7" max="7" width="14.85546875" customWidth="1"/>
    <col min="8" max="8" width="10.42578125" customWidth="1"/>
    <col min="9" max="9" width="10.5703125" customWidth="1"/>
  </cols>
  <sheetData>
    <row r="1" spans="1:9" ht="16.5" customHeight="1" x14ac:dyDescent="0.25">
      <c r="A1" s="360" t="s">
        <v>196</v>
      </c>
      <c r="B1" s="361"/>
      <c r="C1" s="361"/>
      <c r="D1" s="361"/>
      <c r="E1" s="361"/>
      <c r="F1" s="361"/>
      <c r="G1" s="361"/>
      <c r="H1" s="361"/>
      <c r="I1" s="361"/>
    </row>
    <row r="2" spans="1:9" ht="16.5" customHeight="1" x14ac:dyDescent="0.25">
      <c r="A2" s="362" t="s">
        <v>197</v>
      </c>
      <c r="B2" s="363"/>
      <c r="C2" s="363"/>
      <c r="D2" s="363"/>
      <c r="E2" s="363"/>
      <c r="F2" s="363"/>
      <c r="G2" s="363"/>
      <c r="H2" s="363"/>
      <c r="I2" s="363"/>
    </row>
    <row r="3" spans="1:9" ht="32.25" thickBot="1" x14ac:dyDescent="0.3">
      <c r="A3" s="168" t="s">
        <v>70</v>
      </c>
      <c r="B3" s="169" t="s">
        <v>198</v>
      </c>
      <c r="C3" s="169" t="s">
        <v>192</v>
      </c>
      <c r="D3" s="169" t="s">
        <v>215</v>
      </c>
      <c r="E3" s="169" t="s">
        <v>136</v>
      </c>
      <c r="F3" s="169" t="s">
        <v>199</v>
      </c>
      <c r="G3" s="169" t="s">
        <v>200</v>
      </c>
      <c r="H3" s="169" t="s">
        <v>213</v>
      </c>
      <c r="I3" s="169" t="s">
        <v>214</v>
      </c>
    </row>
    <row r="4" spans="1:9" ht="50.1" customHeight="1" thickBot="1" x14ac:dyDescent="0.3">
      <c r="A4" s="170">
        <v>1</v>
      </c>
      <c r="B4" s="171" t="s">
        <v>201</v>
      </c>
      <c r="C4" s="172">
        <v>1</v>
      </c>
      <c r="D4" s="172">
        <f>2762.05</f>
        <v>2762.05</v>
      </c>
      <c r="E4" s="174">
        <v>8763.98</v>
      </c>
      <c r="F4" s="175">
        <v>8763.98</v>
      </c>
      <c r="G4" s="175">
        <v>105167.74</v>
      </c>
      <c r="H4" s="176">
        <v>2.75</v>
      </c>
      <c r="I4" s="181">
        <f t="shared" ref="I4:I13" si="0">E4/D4</f>
        <v>3.1729983164678406</v>
      </c>
    </row>
    <row r="5" spans="1:9" ht="50.1" customHeight="1" thickBot="1" x14ac:dyDescent="0.3">
      <c r="A5" s="170">
        <v>2</v>
      </c>
      <c r="B5" s="171" t="s">
        <v>202</v>
      </c>
      <c r="C5" s="172">
        <v>5</v>
      </c>
      <c r="D5" s="172">
        <v>2762.05</v>
      </c>
      <c r="E5" s="174">
        <v>8749.65</v>
      </c>
      <c r="F5" s="175">
        <v>43748.26</v>
      </c>
      <c r="G5" s="175">
        <v>524979.11</v>
      </c>
      <c r="H5" s="176">
        <v>2.75</v>
      </c>
      <c r="I5" s="181">
        <f t="shared" si="0"/>
        <v>3.167810141018446</v>
      </c>
    </row>
    <row r="6" spans="1:9" ht="50.1" customHeight="1" thickBot="1" x14ac:dyDescent="0.3">
      <c r="A6" s="170">
        <v>3</v>
      </c>
      <c r="B6" s="171" t="s">
        <v>203</v>
      </c>
      <c r="C6" s="172">
        <v>8</v>
      </c>
      <c r="D6" s="174">
        <v>2762.05</v>
      </c>
      <c r="E6" s="174">
        <v>8218.65</v>
      </c>
      <c r="F6" s="175">
        <v>65749.19</v>
      </c>
      <c r="G6" s="175">
        <v>788990.25</v>
      </c>
      <c r="H6" s="176">
        <v>2.61</v>
      </c>
      <c r="I6" s="181">
        <f t="shared" si="0"/>
        <v>2.9755616299487695</v>
      </c>
    </row>
    <row r="7" spans="1:9" ht="50.1" customHeight="1" thickBot="1" x14ac:dyDescent="0.3">
      <c r="A7" s="170">
        <v>4</v>
      </c>
      <c r="B7" s="171" t="s">
        <v>204</v>
      </c>
      <c r="C7" s="172">
        <v>2</v>
      </c>
      <c r="D7" s="174">
        <v>2762.05</v>
      </c>
      <c r="E7" s="174">
        <v>7760.1</v>
      </c>
      <c r="F7" s="175">
        <v>15520.2</v>
      </c>
      <c r="G7" s="175">
        <v>186242.34</v>
      </c>
      <c r="H7" s="176">
        <v>2.57</v>
      </c>
      <c r="I7" s="181">
        <f t="shared" si="0"/>
        <v>2.8095436360674135</v>
      </c>
    </row>
    <row r="8" spans="1:9" ht="50.1" customHeight="1" thickBot="1" x14ac:dyDescent="0.3">
      <c r="A8" s="170">
        <v>5</v>
      </c>
      <c r="B8" s="171" t="s">
        <v>205</v>
      </c>
      <c r="C8" s="172">
        <v>8</v>
      </c>
      <c r="D8" s="174">
        <v>2762.05</v>
      </c>
      <c r="E8" s="174">
        <v>8204.32</v>
      </c>
      <c r="F8" s="175">
        <v>65634.570000000007</v>
      </c>
      <c r="G8" s="175">
        <v>787614.88</v>
      </c>
      <c r="H8" s="176">
        <v>2.61</v>
      </c>
      <c r="I8" s="181">
        <f t="shared" si="0"/>
        <v>2.970373454499375</v>
      </c>
    </row>
    <row r="9" spans="1:9" ht="50.1" customHeight="1" thickBot="1" x14ac:dyDescent="0.3">
      <c r="A9" s="170">
        <v>6</v>
      </c>
      <c r="B9" s="171" t="s">
        <v>206</v>
      </c>
      <c r="C9" s="172">
        <v>2</v>
      </c>
      <c r="D9" s="174">
        <v>2762.05</v>
      </c>
      <c r="E9" s="174">
        <v>7745.77</v>
      </c>
      <c r="F9" s="175">
        <v>15491.54</v>
      </c>
      <c r="G9" s="175">
        <v>185898.5</v>
      </c>
      <c r="H9" s="176">
        <v>2.57</v>
      </c>
      <c r="I9" s="181">
        <f t="shared" si="0"/>
        <v>2.804355460618019</v>
      </c>
    </row>
    <row r="10" spans="1:9" ht="50.1" customHeight="1" thickBot="1" x14ac:dyDescent="0.3">
      <c r="A10" s="170">
        <v>7</v>
      </c>
      <c r="B10" s="171" t="s">
        <v>207</v>
      </c>
      <c r="C10" s="172">
        <v>10</v>
      </c>
      <c r="D10" s="174">
        <v>3360.36</v>
      </c>
      <c r="E10" s="174">
        <v>9218</v>
      </c>
      <c r="F10" s="175">
        <v>92179.96</v>
      </c>
      <c r="G10" s="175">
        <v>1106159.46</v>
      </c>
      <c r="H10" s="176">
        <v>2.52</v>
      </c>
      <c r="I10" s="181">
        <f t="shared" si="0"/>
        <v>2.7431584711161898</v>
      </c>
    </row>
    <row r="11" spans="1:9" ht="50.1" customHeight="1" thickBot="1" x14ac:dyDescent="0.3">
      <c r="A11" s="170">
        <v>8</v>
      </c>
      <c r="B11" s="171" t="s">
        <v>208</v>
      </c>
      <c r="C11" s="172">
        <v>10</v>
      </c>
      <c r="D11" s="174">
        <v>3360.36</v>
      </c>
      <c r="E11" s="174">
        <v>9203.67</v>
      </c>
      <c r="F11" s="175">
        <v>92036.69</v>
      </c>
      <c r="G11" s="175">
        <v>1104440.26</v>
      </c>
      <c r="H11" s="176">
        <v>2.5099999999999998</v>
      </c>
      <c r="I11" s="181">
        <f t="shared" si="0"/>
        <v>2.7388940470663856</v>
      </c>
    </row>
    <row r="12" spans="1:9" ht="50.1" customHeight="1" thickBot="1" x14ac:dyDescent="0.3">
      <c r="A12" s="170">
        <v>9</v>
      </c>
      <c r="B12" s="171" t="s">
        <v>209</v>
      </c>
      <c r="C12" s="172">
        <v>2</v>
      </c>
      <c r="D12" s="174">
        <v>3313</v>
      </c>
      <c r="E12" s="174">
        <v>9683.3700000000008</v>
      </c>
      <c r="F12" s="175">
        <v>19366.740000000002</v>
      </c>
      <c r="G12" s="175">
        <v>232400.85</v>
      </c>
      <c r="H12" s="176">
        <v>2.56</v>
      </c>
      <c r="I12" s="181">
        <f t="shared" si="0"/>
        <v>2.9228403259885303</v>
      </c>
    </row>
    <row r="13" spans="1:9" ht="50.1" customHeight="1" thickBot="1" x14ac:dyDescent="0.3">
      <c r="A13" s="170">
        <v>10</v>
      </c>
      <c r="B13" s="171" t="s">
        <v>210</v>
      </c>
      <c r="C13" s="172">
        <v>2</v>
      </c>
      <c r="D13" s="174">
        <v>4030.66</v>
      </c>
      <c r="E13" s="174">
        <v>11533.53</v>
      </c>
      <c r="F13" s="175">
        <v>23067.05</v>
      </c>
      <c r="G13" s="175">
        <v>276804.65000000002</v>
      </c>
      <c r="H13" s="176">
        <v>2.5099999999999998</v>
      </c>
      <c r="I13" s="181">
        <f t="shared" si="0"/>
        <v>2.8614494896617431</v>
      </c>
    </row>
    <row r="14" spans="1:9" ht="50.1" customHeight="1" thickBot="1" x14ac:dyDescent="0.3">
      <c r="A14" s="177"/>
      <c r="B14" s="178" t="s">
        <v>211</v>
      </c>
      <c r="C14" s="169">
        <v>50</v>
      </c>
      <c r="D14" s="169"/>
      <c r="E14" s="169"/>
      <c r="F14" s="179">
        <v>441558.17</v>
      </c>
      <c r="G14" s="179">
        <v>5298698.05</v>
      </c>
      <c r="H14" s="180"/>
      <c r="I14" s="180"/>
    </row>
    <row r="15" spans="1:9" x14ac:dyDescent="0.25">
      <c r="F15" s="173"/>
    </row>
  </sheetData>
  <mergeCells count="2">
    <mergeCell ref="A1:I1"/>
    <mergeCell ref="A2:I2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225"/>
  <sheetViews>
    <sheetView topLeftCell="A18" workbookViewId="0">
      <selection activeCell="C33" sqref="C33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5.85546875" style="35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Proposta!C30</f>
        <v>Vigilância Armada Noturna Motorizada 2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Armada Noturna Motorizada 2</v>
      </c>
      <c r="B13" s="152" t="s">
        <v>95</v>
      </c>
      <c r="C13" s="84">
        <f>Proposta!E30</f>
        <v>2</v>
      </c>
    </row>
    <row r="14" spans="1:5" s="41" customFormat="1" ht="18.75" customHeight="1" x14ac:dyDescent="0.25">
      <c r="A14" s="433" t="s">
        <v>96</v>
      </c>
      <c r="B14" s="433"/>
      <c r="C14" s="84">
        <f>SUM(C13)</f>
        <v>2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'5-AD'!B20:C20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'5-AD'!B22:C22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>
        <f>(C26+C27)/220*0.2*8*15</f>
        <v>386.22905454545457</v>
      </c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60</v>
      </c>
      <c r="B31" s="45"/>
      <c r="C31" s="46">
        <v>0</v>
      </c>
    </row>
    <row r="32" spans="1:9" s="36" customFormat="1" x14ac:dyDescent="0.25">
      <c r="A32" s="77" t="s">
        <v>313</v>
      </c>
      <c r="B32" s="45"/>
      <c r="C32" s="79">
        <f>(C26+C27+C29)*10%</f>
        <v>392.66620545454543</v>
      </c>
    </row>
    <row r="33" spans="1:9" x14ac:dyDescent="0.25">
      <c r="A33" s="56" t="s">
        <v>11</v>
      </c>
      <c r="B33" s="57"/>
      <c r="C33" s="58">
        <f>SUM(C26:C32)</f>
        <v>4319.3282600000002</v>
      </c>
      <c r="D33" s="330">
        <f>C33*32.03%</f>
        <v>1383.4808416780002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359.80004405800003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522.63871946000006</v>
      </c>
    </row>
    <row r="40" spans="1:9" x14ac:dyDescent="0.25">
      <c r="A40" s="67" t="s">
        <v>69</v>
      </c>
      <c r="B40" s="131">
        <f>SUM(B38:B39)</f>
        <v>0.20429999999999998</v>
      </c>
      <c r="C40" s="68">
        <f>SUM(C38:C39)</f>
        <v>882.43876351800009</v>
      </c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311.50088352185401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1193.9396470398542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 t="shared" ref="C45:C52" si="0">B45*C$33</f>
        <v>863.86565200000007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si="0"/>
        <v>107.98320650000001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64.789923900000005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64.789923900000005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43.193282600000003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25.915969560000001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8.6386565200000014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345.54626080000003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1524.7228757800001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165</v>
      </c>
      <c r="B57" s="54">
        <f>'5-AD'!B57</f>
        <v>47.37</v>
      </c>
      <c r="C57" s="46">
        <f>B57*15</f>
        <v>710.55</v>
      </c>
      <c r="D57" s="160">
        <f>39.29*2%</f>
        <v>0.78580000000000005</v>
      </c>
    </row>
    <row r="58" spans="1:9" x14ac:dyDescent="0.25">
      <c r="A58" s="44" t="s">
        <v>12</v>
      </c>
      <c r="B58" s="54"/>
      <c r="C58" s="79">
        <f>'5-AD'!C58</f>
        <v>0</v>
      </c>
    </row>
    <row r="59" spans="1:9" x14ac:dyDescent="0.25">
      <c r="A59" s="44" t="s">
        <v>79</v>
      </c>
      <c r="B59" s="54"/>
      <c r="C59" s="79">
        <f>'5-AD'!C59</f>
        <v>0</v>
      </c>
    </row>
    <row r="60" spans="1:9" x14ac:dyDescent="0.25">
      <c r="A60" s="44" t="s">
        <v>80</v>
      </c>
      <c r="B60" s="54"/>
      <c r="C60" s="79">
        <f>'5-AD'!C60</f>
        <v>0</v>
      </c>
    </row>
    <row r="61" spans="1:9" x14ac:dyDescent="0.25">
      <c r="A61" s="44" t="s">
        <v>124</v>
      </c>
      <c r="B61" s="54"/>
      <c r="C61" s="46"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1193.9396470398542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1524.7228757800001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3441.3379228198546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0.83794968244000001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6.7035974595200012E-2</v>
      </c>
    </row>
    <row r="75" spans="1:5" s="1" customFormat="1" x14ac:dyDescent="0.25">
      <c r="A75" s="75" t="s">
        <v>151</v>
      </c>
      <c r="B75" s="45">
        <f>'ES Memória de Cálculo'!B26</f>
        <v>3.4000000000000002E-2</v>
      </c>
      <c r="C75" s="46">
        <f>B75*C$33</f>
        <v>146.85716084000001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0.83986938388888899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0.29647389251277784</v>
      </c>
    </row>
    <row r="78" spans="1:5" x14ac:dyDescent="0.25">
      <c r="A78" s="75" t="s">
        <v>154</v>
      </c>
      <c r="B78" s="45">
        <f>'ES Memória de Cálculo'!B29</f>
        <v>6.0000000000000001E-3</v>
      </c>
      <c r="C78" s="46">
        <f t="shared" si="1"/>
        <v>25.915969560000001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174.8144593334369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8" si="2">B83*C$33</f>
        <v>41.03361847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0.71028953608888901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0.8998600541666667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220</v>
      </c>
      <c r="B88" s="184"/>
      <c r="C88" s="183">
        <f t="shared" si="2"/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42.643768060255553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15.053250125270212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57.697018185525764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3" x14ac:dyDescent="0.25">
      <c r="A97" s="61" t="s">
        <v>45</v>
      </c>
      <c r="B97" s="62"/>
      <c r="C97" s="63"/>
    </row>
    <row r="98" spans="1:3" x14ac:dyDescent="0.25">
      <c r="A98" s="154" t="s">
        <v>19</v>
      </c>
      <c r="B98" s="154"/>
      <c r="C98" s="53" t="s">
        <v>5</v>
      </c>
    </row>
    <row r="99" spans="1:3" x14ac:dyDescent="0.25">
      <c r="A99" s="69" t="s">
        <v>46</v>
      </c>
      <c r="B99" s="70">
        <f>'ES Memória de Cálculo'!B42</f>
        <v>1.3357868333333333E-2</v>
      </c>
      <c r="C99" s="46">
        <f>C91</f>
        <v>57.697018185525764</v>
      </c>
    </row>
    <row r="100" spans="1:3" s="37" customFormat="1" x14ac:dyDescent="0.25">
      <c r="A100" s="69" t="s">
        <v>47</v>
      </c>
      <c r="B100" s="70"/>
      <c r="C100" s="66">
        <f>C93</f>
        <v>0</v>
      </c>
    </row>
    <row r="101" spans="1:3" x14ac:dyDescent="0.25">
      <c r="A101" s="153" t="s">
        <v>0</v>
      </c>
      <c r="B101" s="71">
        <f>SUM(B99:B100)</f>
        <v>1.3357868333333333E-2</v>
      </c>
      <c r="C101" s="58">
        <f>SUM(C99:C100)</f>
        <v>57.697018185525764</v>
      </c>
    </row>
    <row r="102" spans="1:3" s="36" customFormat="1" x14ac:dyDescent="0.25">
      <c r="A102" s="72"/>
      <c r="B102" s="73"/>
      <c r="C102" s="74"/>
    </row>
    <row r="103" spans="1:3" s="37" customFormat="1" x14ac:dyDescent="0.25">
      <c r="A103" s="48" t="s">
        <v>49</v>
      </c>
      <c r="B103" s="49"/>
      <c r="C103" s="50"/>
    </row>
    <row r="104" spans="1:3" x14ac:dyDescent="0.25">
      <c r="A104" s="51" t="s">
        <v>50</v>
      </c>
      <c r="B104" s="52"/>
      <c r="C104" s="53" t="s">
        <v>5</v>
      </c>
    </row>
    <row r="105" spans="1:3" x14ac:dyDescent="0.25">
      <c r="A105" s="44" t="s">
        <v>13</v>
      </c>
      <c r="B105" s="54"/>
      <c r="C105" s="46">
        <f>uniforme2!I30</f>
        <v>32.875</v>
      </c>
    </row>
    <row r="106" spans="1:3" x14ac:dyDescent="0.25">
      <c r="A106" s="44" t="s">
        <v>218</v>
      </c>
      <c r="B106" s="54"/>
      <c r="C106" s="46">
        <f>Equip!H16</f>
        <v>3.2393749999999999</v>
      </c>
    </row>
    <row r="107" spans="1:3" x14ac:dyDescent="0.25">
      <c r="A107" s="44" t="s">
        <v>331</v>
      </c>
      <c r="B107" s="54"/>
      <c r="C107" s="46">
        <f>Moto!G9</f>
        <v>298.38333333333333</v>
      </c>
    </row>
    <row r="108" spans="1:3" x14ac:dyDescent="0.25">
      <c r="A108" s="44" t="s">
        <v>334</v>
      </c>
      <c r="B108" s="54"/>
      <c r="C108" s="46">
        <f>Equip!H24</f>
        <v>10.416666666666666</v>
      </c>
    </row>
    <row r="109" spans="1:3" x14ac:dyDescent="0.25">
      <c r="A109" s="153" t="s">
        <v>14</v>
      </c>
      <c r="B109" s="71"/>
      <c r="C109" s="58">
        <f>SUM(C105:C108)</f>
        <v>344.91437500000001</v>
      </c>
    </row>
    <row r="110" spans="1:3" x14ac:dyDescent="0.25">
      <c r="A110" s="59"/>
      <c r="B110" s="55"/>
      <c r="C110" s="60"/>
    </row>
    <row r="111" spans="1:3" x14ac:dyDescent="0.25">
      <c r="A111" s="48" t="s">
        <v>51</v>
      </c>
      <c r="B111" s="49"/>
      <c r="C111" s="50"/>
    </row>
    <row r="112" spans="1:3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'5-AD'!B113</f>
        <v>0.01</v>
      </c>
      <c r="C113" s="46">
        <f>C129*B113</f>
        <v>83.380920353388177</v>
      </c>
      <c r="D113" s="85"/>
      <c r="E113" s="158" t="e">
        <f>#REF!</f>
        <v>#REF!</v>
      </c>
    </row>
    <row r="114" spans="1:5" x14ac:dyDescent="0.25">
      <c r="A114" s="44" t="s">
        <v>21</v>
      </c>
      <c r="B114" s="45">
        <v>1.35E-2</v>
      </c>
      <c r="C114" s="46">
        <f>(C129+C113)*B114</f>
        <v>113.68988490184476</v>
      </c>
      <c r="E114" s="158"/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808.20096958006047</v>
      </c>
      <c r="E115" s="158"/>
    </row>
    <row r="116" spans="1:5" x14ac:dyDescent="0.25">
      <c r="A116" s="44" t="s">
        <v>120</v>
      </c>
      <c r="B116" s="102">
        <v>3.6499999999999998E-2</v>
      </c>
      <c r="C116" s="103">
        <f ca="1">C131*B116</f>
        <v>341.03277907135504</v>
      </c>
    </row>
    <row r="117" spans="1:5" x14ac:dyDescent="0.25">
      <c r="A117" s="44" t="s">
        <v>23</v>
      </c>
      <c r="B117" s="102">
        <v>0</v>
      </c>
      <c r="C117" s="103"/>
      <c r="E117" s="158"/>
    </row>
    <row r="118" spans="1:5" x14ac:dyDescent="0.25">
      <c r="A118" s="44" t="s">
        <v>24</v>
      </c>
      <c r="B118" s="102">
        <v>0.05</v>
      </c>
      <c r="C118" s="103">
        <f ca="1">C133*B118</f>
        <v>934.3363810174111</v>
      </c>
      <c r="E118" s="158"/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1005.2717748352934</v>
      </c>
      <c r="E120" s="158"/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4319.3282600000002</v>
      </c>
    </row>
    <row r="125" spans="1:5" x14ac:dyDescent="0.25">
      <c r="A125" s="453" t="s">
        <v>53</v>
      </c>
      <c r="B125" s="453"/>
      <c r="C125" s="60">
        <f>C69</f>
        <v>3441.3379228198546</v>
      </c>
    </row>
    <row r="126" spans="1:5" x14ac:dyDescent="0.25">
      <c r="A126" s="453" t="s">
        <v>54</v>
      </c>
      <c r="B126" s="453"/>
      <c r="C126" s="60">
        <f>C79</f>
        <v>174.8144593334369</v>
      </c>
    </row>
    <row r="127" spans="1:5" x14ac:dyDescent="0.25">
      <c r="A127" s="453" t="s">
        <v>55</v>
      </c>
      <c r="B127" s="453"/>
      <c r="C127" s="60">
        <f>C101</f>
        <v>57.697018185525764</v>
      </c>
    </row>
    <row r="128" spans="1:5" x14ac:dyDescent="0.25">
      <c r="A128" s="453" t="s">
        <v>56</v>
      </c>
      <c r="B128" s="453"/>
      <c r="C128" s="60">
        <f>C109</f>
        <v>344.91437500000001</v>
      </c>
    </row>
    <row r="129" spans="1:5" x14ac:dyDescent="0.25">
      <c r="A129" s="454" t="s">
        <v>58</v>
      </c>
      <c r="B129" s="454"/>
      <c r="C129" s="60">
        <f>SUM(C124:C128)</f>
        <v>8338.0920353388174</v>
      </c>
    </row>
    <row r="130" spans="1:5" x14ac:dyDescent="0.25">
      <c r="A130" s="453" t="s">
        <v>57</v>
      </c>
      <c r="B130" s="453"/>
      <c r="C130" s="60">
        <f ca="1">C120</f>
        <v>1005.2717748352934</v>
      </c>
    </row>
    <row r="131" spans="1:5" ht="15.75" customHeight="1" x14ac:dyDescent="0.25">
      <c r="A131" s="450" t="s">
        <v>30</v>
      </c>
      <c r="B131" s="450"/>
      <c r="C131" s="58">
        <f ca="1">SUM(C129:C130)</f>
        <v>9343.3638101741108</v>
      </c>
      <c r="D131" s="85">
        <f ca="1">(C124+C125+C126+C127+C128+C130)/C124</f>
        <v>2.1631520569298224</v>
      </c>
    </row>
    <row r="132" spans="1:5" x14ac:dyDescent="0.25">
      <c r="A132" s="455"/>
      <c r="B132" s="456"/>
      <c r="C132" s="457"/>
    </row>
    <row r="133" spans="1:5" ht="15.75" customHeight="1" x14ac:dyDescent="0.25">
      <c r="A133" s="450" t="s">
        <v>277</v>
      </c>
      <c r="B133" s="450"/>
      <c r="C133" s="58">
        <f ca="1">C131*2</f>
        <v>18686.727620348222</v>
      </c>
      <c r="E133" s="85"/>
    </row>
    <row r="134" spans="1:5" x14ac:dyDescent="0.25">
      <c r="B134" s="35"/>
      <c r="C134" s="35"/>
    </row>
    <row r="135" spans="1:5" x14ac:dyDescent="0.25">
      <c r="B135" s="35"/>
      <c r="C135" s="35"/>
    </row>
    <row r="136" spans="1:5" x14ac:dyDescent="0.25">
      <c r="B136" s="35"/>
      <c r="C136" s="35"/>
    </row>
    <row r="137" spans="1:5" x14ac:dyDescent="0.25">
      <c r="B137" s="35"/>
      <c r="C137" s="35"/>
    </row>
    <row r="138" spans="1:5" x14ac:dyDescent="0.25">
      <c r="B138" s="35"/>
      <c r="C138" s="35"/>
    </row>
    <row r="139" spans="1:5" x14ac:dyDescent="0.25">
      <c r="B139" s="35"/>
      <c r="C139" s="35"/>
    </row>
    <row r="140" spans="1:5" x14ac:dyDescent="0.25">
      <c r="B140" s="35"/>
      <c r="C140" s="35"/>
    </row>
    <row r="141" spans="1:5" x14ac:dyDescent="0.25">
      <c r="B141" s="35"/>
      <c r="C141" s="35"/>
    </row>
    <row r="142" spans="1:5" x14ac:dyDescent="0.25">
      <c r="B142" s="35"/>
      <c r="C142" s="35"/>
    </row>
    <row r="143" spans="1:5" x14ac:dyDescent="0.25">
      <c r="A143" s="38"/>
      <c r="B143" s="35"/>
      <c r="C143" s="35"/>
    </row>
    <row r="144" spans="1:5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225"/>
  <sheetViews>
    <sheetView topLeftCell="A14" workbookViewId="0">
      <selection activeCell="C32" sqref="C32"/>
    </sheetView>
  </sheetViews>
  <sheetFormatPr defaultRowHeight="12.75" x14ac:dyDescent="0.25"/>
  <cols>
    <col min="1" max="1" width="92.7109375" style="35" customWidth="1"/>
    <col min="2" max="2" width="15.28515625" style="39" customWidth="1"/>
    <col min="3" max="3" width="23.7109375" style="39" customWidth="1"/>
    <col min="4" max="4" width="16.42578125" style="35" customWidth="1"/>
    <col min="5" max="5" width="18.42578125" style="35" customWidth="1"/>
    <col min="6" max="16384" width="9.140625" style="35"/>
  </cols>
  <sheetData>
    <row r="1" spans="1:5" s="41" customFormat="1" ht="27" customHeight="1" x14ac:dyDescent="0.25">
      <c r="A1" s="430" t="str">
        <f>Proposta!C31</f>
        <v>Vigilância Armada Diurna Motorizada</v>
      </c>
      <c r="B1" s="430"/>
      <c r="C1" s="430"/>
      <c r="D1" s="40"/>
      <c r="E1" s="40"/>
    </row>
    <row r="2" spans="1:5" s="41" customFormat="1" ht="31.5" customHeight="1" x14ac:dyDescent="0.25">
      <c r="A2" s="431" t="s">
        <v>107</v>
      </c>
      <c r="B2" s="431"/>
      <c r="C2" s="431"/>
    </row>
    <row r="3" spans="1:5" s="41" customFormat="1" ht="15.75" customHeight="1" x14ac:dyDescent="0.25">
      <c r="A3" s="42" t="s">
        <v>216</v>
      </c>
      <c r="B3" s="42"/>
      <c r="C3" s="42"/>
    </row>
    <row r="4" spans="1:5" s="41" customFormat="1" ht="15.75" customHeight="1" x14ac:dyDescent="0.25">
      <c r="A4" s="42" t="s">
        <v>217</v>
      </c>
      <c r="B4" s="42"/>
      <c r="C4" s="42"/>
    </row>
    <row r="5" spans="1:5" s="41" customFormat="1" ht="14.85" customHeight="1" x14ac:dyDescent="0.25">
      <c r="A5" s="432"/>
      <c r="B5" s="432"/>
      <c r="C5" s="432"/>
    </row>
    <row r="6" spans="1:5" s="41" customFormat="1" ht="20.25" customHeight="1" x14ac:dyDescent="0.25">
      <c r="A6" s="433" t="s">
        <v>86</v>
      </c>
      <c r="B6" s="433"/>
      <c r="C6" s="433"/>
    </row>
    <row r="7" spans="1:5" s="41" customFormat="1" ht="15.75" customHeight="1" x14ac:dyDescent="0.25">
      <c r="A7" s="42" t="s">
        <v>87</v>
      </c>
      <c r="B7" s="434"/>
      <c r="C7" s="434"/>
    </row>
    <row r="8" spans="1:5" s="41" customFormat="1" ht="15.75" customHeight="1" x14ac:dyDescent="0.25">
      <c r="A8" s="42" t="s">
        <v>88</v>
      </c>
      <c r="B8" s="435" t="s">
        <v>1</v>
      </c>
      <c r="C8" s="435"/>
    </row>
    <row r="9" spans="1:5" s="41" customFormat="1" ht="20.100000000000001" customHeight="1" x14ac:dyDescent="0.25">
      <c r="A9" s="42" t="s">
        <v>89</v>
      </c>
      <c r="B9" s="436" t="s">
        <v>379</v>
      </c>
      <c r="C9" s="436"/>
    </row>
    <row r="10" spans="1:5" s="41" customFormat="1" ht="15.75" customHeight="1" x14ac:dyDescent="0.25">
      <c r="A10" s="42" t="s">
        <v>90</v>
      </c>
      <c r="B10" s="436" t="s">
        <v>91</v>
      </c>
      <c r="C10" s="436"/>
    </row>
    <row r="11" spans="1:5" s="41" customFormat="1" ht="21.2" customHeight="1" x14ac:dyDescent="0.25">
      <c r="A11" s="42" t="s">
        <v>92</v>
      </c>
      <c r="B11" s="42"/>
      <c r="C11" s="42"/>
    </row>
    <row r="12" spans="1:5" s="41" customFormat="1" ht="47.25" customHeight="1" x14ac:dyDescent="0.25">
      <c r="A12" s="83" t="s">
        <v>98</v>
      </c>
      <c r="B12" s="83" t="s">
        <v>93</v>
      </c>
      <c r="C12" s="83" t="s">
        <v>94</v>
      </c>
    </row>
    <row r="13" spans="1:5" s="41" customFormat="1" ht="36" customHeight="1" x14ac:dyDescent="0.25">
      <c r="A13" s="43" t="str">
        <f>A1</f>
        <v>Vigilância Armada Diurna Motorizada</v>
      </c>
      <c r="B13" s="152" t="s">
        <v>95</v>
      </c>
      <c r="C13" s="84">
        <f>Proposta!E31</f>
        <v>1</v>
      </c>
    </row>
    <row r="14" spans="1:5" s="41" customFormat="1" ht="18.75" customHeight="1" x14ac:dyDescent="0.25">
      <c r="A14" s="433" t="s">
        <v>96</v>
      </c>
      <c r="B14" s="433"/>
      <c r="C14" s="84">
        <f>SUM(C13)</f>
        <v>1</v>
      </c>
    </row>
    <row r="15" spans="1:5" s="41" customFormat="1" ht="18" customHeight="1" x14ac:dyDescent="0.25">
      <c r="A15" s="437" t="s">
        <v>97</v>
      </c>
      <c r="B15" s="438"/>
      <c r="C15" s="439"/>
    </row>
    <row r="16" spans="1:5" x14ac:dyDescent="0.25">
      <c r="A16" s="440" t="s">
        <v>99</v>
      </c>
      <c r="B16" s="440"/>
      <c r="C16" s="440"/>
    </row>
    <row r="17" spans="1:9" x14ac:dyDescent="0.25">
      <c r="A17" s="429" t="s">
        <v>100</v>
      </c>
      <c r="B17" s="429"/>
      <c r="C17" s="429"/>
    </row>
    <row r="18" spans="1:9" s="36" customFormat="1" x14ac:dyDescent="0.2">
      <c r="A18" s="47" t="s">
        <v>2</v>
      </c>
      <c r="B18" s="444" t="s">
        <v>101</v>
      </c>
      <c r="C18" s="444"/>
    </row>
    <row r="19" spans="1:9" s="36" customFormat="1" x14ac:dyDescent="0.2">
      <c r="A19" s="47" t="s">
        <v>102</v>
      </c>
      <c r="B19" s="445" t="s">
        <v>150</v>
      </c>
      <c r="C19" s="445"/>
    </row>
    <row r="20" spans="1:9" s="36" customFormat="1" x14ac:dyDescent="0.2">
      <c r="A20" s="47" t="s">
        <v>103</v>
      </c>
      <c r="B20" s="446">
        <f>'6-ANM'!B20:C20</f>
        <v>2723.41</v>
      </c>
      <c r="C20" s="446"/>
    </row>
    <row r="21" spans="1:9" s="36" customFormat="1" x14ac:dyDescent="0.2">
      <c r="A21" s="47" t="s">
        <v>104</v>
      </c>
      <c r="B21" s="447" t="s">
        <v>106</v>
      </c>
      <c r="C21" s="447"/>
    </row>
    <row r="22" spans="1:9" s="36" customFormat="1" x14ac:dyDescent="0.2">
      <c r="A22" s="47" t="s">
        <v>105</v>
      </c>
      <c r="B22" s="448">
        <f>'6-ANM'!B22:C22</f>
        <v>45292</v>
      </c>
      <c r="C22" s="448"/>
    </row>
    <row r="23" spans="1:9" s="34" customFormat="1" ht="21" customHeight="1" x14ac:dyDescent="0.25">
      <c r="A23" s="441" t="s">
        <v>114</v>
      </c>
      <c r="B23" s="442"/>
      <c r="C23" s="443"/>
      <c r="D23" s="86"/>
      <c r="E23" s="86"/>
      <c r="F23" s="86"/>
      <c r="G23" s="86"/>
      <c r="H23" s="86"/>
      <c r="I23" s="86"/>
    </row>
    <row r="24" spans="1:9" x14ac:dyDescent="0.25">
      <c r="A24" s="48" t="s">
        <v>3</v>
      </c>
      <c r="B24" s="49"/>
      <c r="C24" s="50"/>
    </row>
    <row r="25" spans="1:9" x14ac:dyDescent="0.25">
      <c r="A25" s="51" t="s">
        <v>4</v>
      </c>
      <c r="B25" s="52"/>
      <c r="C25" s="53" t="s">
        <v>5</v>
      </c>
    </row>
    <row r="26" spans="1:9" x14ac:dyDescent="0.25">
      <c r="A26" s="44" t="s">
        <v>6</v>
      </c>
      <c r="B26" s="45">
        <v>1</v>
      </c>
      <c r="C26" s="46">
        <f>B20</f>
        <v>2723.41</v>
      </c>
    </row>
    <row r="27" spans="1:9" x14ac:dyDescent="0.25">
      <c r="A27" s="44" t="s">
        <v>7</v>
      </c>
      <c r="B27" s="45">
        <v>0.3</v>
      </c>
      <c r="C27" s="46">
        <f>C26*30%</f>
        <v>817.02299999999991</v>
      </c>
    </row>
    <row r="28" spans="1:9" x14ac:dyDescent="0.25">
      <c r="A28" s="44" t="s">
        <v>8</v>
      </c>
      <c r="B28" s="45"/>
      <c r="C28" s="46"/>
    </row>
    <row r="29" spans="1:9" x14ac:dyDescent="0.25">
      <c r="A29" s="44" t="s">
        <v>9</v>
      </c>
      <c r="B29" s="45"/>
      <c r="C29" s="46"/>
    </row>
    <row r="30" spans="1:9" x14ac:dyDescent="0.25">
      <c r="A30" s="44" t="s">
        <v>10</v>
      </c>
      <c r="B30" s="45"/>
      <c r="C30" s="46"/>
    </row>
    <row r="31" spans="1:9" x14ac:dyDescent="0.25">
      <c r="A31" s="44" t="s">
        <v>60</v>
      </c>
      <c r="B31" s="45"/>
      <c r="C31" s="46">
        <v>0</v>
      </c>
    </row>
    <row r="32" spans="1:9" s="36" customFormat="1" x14ac:dyDescent="0.25">
      <c r="A32" s="77" t="s">
        <v>313</v>
      </c>
      <c r="B32" s="45"/>
      <c r="C32" s="79">
        <f>(C26+C27)*10%</f>
        <v>354.04330000000004</v>
      </c>
    </row>
    <row r="33" spans="1:9" x14ac:dyDescent="0.25">
      <c r="A33" s="56" t="s">
        <v>11</v>
      </c>
      <c r="B33" s="57"/>
      <c r="C33" s="58">
        <f>SUM(C26:C32)</f>
        <v>3894.4763000000003</v>
      </c>
      <c r="D33" s="330">
        <f>C33*32.03%</f>
        <v>1247.4007588900001</v>
      </c>
    </row>
    <row r="34" spans="1:9" s="34" customFormat="1" ht="33" customHeight="1" x14ac:dyDescent="0.25">
      <c r="A34" s="441" t="s">
        <v>115</v>
      </c>
      <c r="B34" s="442"/>
      <c r="C34" s="443"/>
      <c r="D34" s="87"/>
      <c r="E34" s="87"/>
      <c r="F34" s="87"/>
      <c r="G34" s="87"/>
      <c r="H34" s="87"/>
      <c r="I34" s="87"/>
    </row>
    <row r="35" spans="1:9" x14ac:dyDescent="0.25">
      <c r="A35" s="48" t="s">
        <v>33</v>
      </c>
      <c r="B35" s="49"/>
      <c r="C35" s="50"/>
    </row>
    <row r="36" spans="1:9" x14ac:dyDescent="0.25">
      <c r="A36" s="61" t="s">
        <v>34</v>
      </c>
      <c r="B36" s="62"/>
      <c r="C36" s="63"/>
    </row>
    <row r="37" spans="1:9" x14ac:dyDescent="0.25">
      <c r="A37" s="51" t="s">
        <v>167</v>
      </c>
      <c r="B37" s="64"/>
      <c r="C37" s="53" t="s">
        <v>31</v>
      </c>
    </row>
    <row r="38" spans="1:9" x14ac:dyDescent="0.25">
      <c r="A38" s="44" t="s">
        <v>61</v>
      </c>
      <c r="B38" s="45">
        <f>'ES Memória de Cálculo'!B5</f>
        <v>8.3299999999999999E-2</v>
      </c>
      <c r="C38" s="46">
        <f>B38*C$33</f>
        <v>324.40987579</v>
      </c>
    </row>
    <row r="39" spans="1:9" x14ac:dyDescent="0.25">
      <c r="A39" s="44" t="s">
        <v>59</v>
      </c>
      <c r="B39" s="65">
        <f>'ES Memória de Cálculo'!B6</f>
        <v>0.121</v>
      </c>
      <c r="C39" s="66">
        <f>C33*B39</f>
        <v>471.2316323</v>
      </c>
    </row>
    <row r="40" spans="1:9" x14ac:dyDescent="0.25">
      <c r="A40" s="67" t="s">
        <v>69</v>
      </c>
      <c r="B40" s="131">
        <f>SUM(B38:B39)</f>
        <v>0.20429999999999998</v>
      </c>
      <c r="C40" s="68">
        <f>SUM(C38:C39)</f>
        <v>795.64150809</v>
      </c>
    </row>
    <row r="41" spans="1:9" x14ac:dyDescent="0.25">
      <c r="A41" s="44" t="s">
        <v>170</v>
      </c>
      <c r="B41" s="65">
        <f>'ES Memória de Cálculo'!B8</f>
        <v>7.2117899999999999E-2</v>
      </c>
      <c r="C41" s="66">
        <f>C33*B41</f>
        <v>280.86145235577004</v>
      </c>
    </row>
    <row r="42" spans="1:9" x14ac:dyDescent="0.25">
      <c r="A42" s="88" t="s">
        <v>0</v>
      </c>
      <c r="B42" s="101">
        <f>SUM(B40:B41)</f>
        <v>0.27641789999999999</v>
      </c>
      <c r="C42" s="89">
        <f>SUM(C40:C41)</f>
        <v>1076.50296044577</v>
      </c>
      <c r="D42" s="36"/>
      <c r="E42" s="100"/>
    </row>
    <row r="43" spans="1:9" s="34" customFormat="1" ht="25.5" customHeight="1" x14ac:dyDescent="0.25">
      <c r="A43" s="441" t="s">
        <v>116</v>
      </c>
      <c r="B43" s="442"/>
      <c r="C43" s="443"/>
      <c r="D43" s="87"/>
      <c r="E43" s="87"/>
      <c r="F43" s="87"/>
      <c r="G43" s="87"/>
      <c r="H43" s="87"/>
      <c r="I43" s="87"/>
    </row>
    <row r="44" spans="1:9" ht="16.5" customHeight="1" x14ac:dyDescent="0.25">
      <c r="A44" s="449" t="s">
        <v>62</v>
      </c>
      <c r="B44" s="449"/>
      <c r="C44" s="449"/>
    </row>
    <row r="45" spans="1:9" x14ac:dyDescent="0.25">
      <c r="A45" s="44" t="s">
        <v>15</v>
      </c>
      <c r="B45" s="45">
        <f>'ES Memória de Cálculo'!B12</f>
        <v>0.2</v>
      </c>
      <c r="C45" s="46">
        <f t="shared" ref="C45:C52" si="0">B45*C$33</f>
        <v>778.89526000000012</v>
      </c>
    </row>
    <row r="46" spans="1:9" x14ac:dyDescent="0.25">
      <c r="A46" s="44" t="s">
        <v>63</v>
      </c>
      <c r="B46" s="45">
        <f>'ES Memória de Cálculo'!B13</f>
        <v>2.5000000000000001E-2</v>
      </c>
      <c r="C46" s="46">
        <f t="shared" si="0"/>
        <v>97.361907500000015</v>
      </c>
    </row>
    <row r="47" spans="1:9" x14ac:dyDescent="0.25">
      <c r="A47" s="44" t="s">
        <v>73</v>
      </c>
      <c r="B47" s="45">
        <f>'ES Memória de Cálculo'!B14</f>
        <v>1.4999999999999999E-2</v>
      </c>
      <c r="C47" s="46">
        <f t="shared" si="0"/>
        <v>58.417144499999999</v>
      </c>
    </row>
    <row r="48" spans="1:9" x14ac:dyDescent="0.25">
      <c r="A48" s="44" t="s">
        <v>64</v>
      </c>
      <c r="B48" s="45">
        <f>'ES Memória de Cálculo'!B15</f>
        <v>1.4999999999999999E-2</v>
      </c>
      <c r="C48" s="46">
        <f t="shared" si="0"/>
        <v>58.417144499999999</v>
      </c>
    </row>
    <row r="49" spans="1:9" x14ac:dyDescent="0.25">
      <c r="A49" s="44" t="s">
        <v>65</v>
      </c>
      <c r="B49" s="45">
        <f>'ES Memória de Cálculo'!B16</f>
        <v>0.01</v>
      </c>
      <c r="C49" s="46">
        <f t="shared" si="0"/>
        <v>38.944763000000002</v>
      </c>
    </row>
    <row r="50" spans="1:9" x14ac:dyDescent="0.25">
      <c r="A50" s="44" t="s">
        <v>66</v>
      </c>
      <c r="B50" s="45">
        <f>'ES Memória de Cálculo'!B17</f>
        <v>6.0000000000000001E-3</v>
      </c>
      <c r="C50" s="46">
        <f t="shared" si="0"/>
        <v>23.366857800000002</v>
      </c>
    </row>
    <row r="51" spans="1:9" x14ac:dyDescent="0.25">
      <c r="A51" s="44" t="s">
        <v>67</v>
      </c>
      <c r="B51" s="45">
        <f>'ES Memória de Cálculo'!B18</f>
        <v>2E-3</v>
      </c>
      <c r="C51" s="46">
        <f t="shared" si="0"/>
        <v>7.7889526000000009</v>
      </c>
    </row>
    <row r="52" spans="1:9" x14ac:dyDescent="0.25">
      <c r="A52" s="44" t="s">
        <v>68</v>
      </c>
      <c r="B52" s="45">
        <f>'ES Memória de Cálculo'!B19</f>
        <v>0.08</v>
      </c>
      <c r="C52" s="46">
        <f t="shared" si="0"/>
        <v>311.55810400000001</v>
      </c>
    </row>
    <row r="53" spans="1:9" x14ac:dyDescent="0.25">
      <c r="A53" s="88" t="s">
        <v>0</v>
      </c>
      <c r="B53" s="101">
        <f>SUM(B45:B52)</f>
        <v>0.35300000000000004</v>
      </c>
      <c r="C53" s="89">
        <f>SUM(C45:C52)</f>
        <v>1374.7501338999998</v>
      </c>
      <c r="D53" s="36"/>
    </row>
    <row r="54" spans="1:9" s="34" customFormat="1" ht="33" customHeight="1" x14ac:dyDescent="0.25">
      <c r="A54" s="441" t="s">
        <v>117</v>
      </c>
      <c r="B54" s="442"/>
      <c r="C54" s="443"/>
      <c r="D54" s="90"/>
      <c r="E54" s="90"/>
      <c r="F54" s="90"/>
      <c r="G54" s="90"/>
      <c r="H54" s="90"/>
      <c r="I54" s="90"/>
    </row>
    <row r="55" spans="1:9" x14ac:dyDescent="0.25">
      <c r="A55" s="61" t="s">
        <v>35</v>
      </c>
      <c r="B55" s="52"/>
      <c r="C55" s="53" t="s">
        <v>5</v>
      </c>
    </row>
    <row r="56" spans="1:9" x14ac:dyDescent="0.25">
      <c r="A56" s="44" t="s">
        <v>32</v>
      </c>
      <c r="B56" s="54">
        <v>5.5</v>
      </c>
      <c r="C56" s="46">
        <f>D56-E56</f>
        <v>1.5954000000000121</v>
      </c>
      <c r="D56" s="35">
        <f>B56*2*15</f>
        <v>165</v>
      </c>
      <c r="E56" s="85">
        <f>C26*6%</f>
        <v>163.40459999999999</v>
      </c>
    </row>
    <row r="57" spans="1:9" x14ac:dyDescent="0.25">
      <c r="A57" s="44" t="s">
        <v>165</v>
      </c>
      <c r="B57" s="54">
        <f>'6-ANM'!B57</f>
        <v>47.37</v>
      </c>
      <c r="C57" s="46">
        <f>B57*15</f>
        <v>710.55</v>
      </c>
      <c r="D57" s="160">
        <f>39.29*2%</f>
        <v>0.78580000000000005</v>
      </c>
    </row>
    <row r="58" spans="1:9" x14ac:dyDescent="0.25">
      <c r="A58" s="44" t="s">
        <v>12</v>
      </c>
      <c r="B58" s="54"/>
      <c r="C58" s="79">
        <f>'6-ANM'!C58</f>
        <v>0</v>
      </c>
    </row>
    <row r="59" spans="1:9" x14ac:dyDescent="0.25">
      <c r="A59" s="44" t="s">
        <v>79</v>
      </c>
      <c r="B59" s="54"/>
      <c r="C59" s="79">
        <f>'6-ANM'!C59</f>
        <v>0</v>
      </c>
    </row>
    <row r="60" spans="1:9" x14ac:dyDescent="0.25">
      <c r="A60" s="44" t="s">
        <v>80</v>
      </c>
      <c r="B60" s="54"/>
      <c r="C60" s="79">
        <f>'6-ANM'!C60</f>
        <v>0</v>
      </c>
    </row>
    <row r="61" spans="1:9" x14ac:dyDescent="0.25">
      <c r="A61" s="44" t="s">
        <v>124</v>
      </c>
      <c r="B61" s="54"/>
      <c r="C61" s="46">
        <v>10.53</v>
      </c>
    </row>
    <row r="62" spans="1:9" x14ac:dyDescent="0.25">
      <c r="A62" s="91" t="s">
        <v>0</v>
      </c>
      <c r="B62" s="92"/>
      <c r="C62" s="93">
        <f>SUM(C56:C61)</f>
        <v>722.67539999999997</v>
      </c>
      <c r="D62" s="36"/>
    </row>
    <row r="63" spans="1:9" s="94" customFormat="1" ht="26.25" customHeight="1" x14ac:dyDescent="0.25">
      <c r="A63" s="441" t="s">
        <v>118</v>
      </c>
      <c r="B63" s="442"/>
      <c r="C63" s="443"/>
      <c r="D63" s="86"/>
      <c r="E63" s="86"/>
      <c r="F63" s="86"/>
      <c r="G63" s="86"/>
      <c r="H63" s="86"/>
      <c r="I63" s="86"/>
    </row>
    <row r="64" spans="1:9" x14ac:dyDescent="0.25">
      <c r="A64" s="61" t="s">
        <v>36</v>
      </c>
      <c r="B64" s="62"/>
      <c r="C64" s="63"/>
    </row>
    <row r="65" spans="1:5" x14ac:dyDescent="0.25">
      <c r="A65" s="154" t="s">
        <v>74</v>
      </c>
      <c r="B65" s="154"/>
      <c r="C65" s="53" t="s">
        <v>31</v>
      </c>
    </row>
    <row r="66" spans="1:5" x14ac:dyDescent="0.25">
      <c r="A66" s="69" t="s">
        <v>37</v>
      </c>
      <c r="B66" s="70">
        <f>B40</f>
        <v>0.20429999999999998</v>
      </c>
      <c r="C66" s="46">
        <f>C42</f>
        <v>1076.50296044577</v>
      </c>
    </row>
    <row r="67" spans="1:5" s="37" customFormat="1" x14ac:dyDescent="0.25">
      <c r="A67" s="69" t="s">
        <v>132</v>
      </c>
      <c r="B67" s="70">
        <f>'ES Memória de Cálculo'!B20</f>
        <v>0.35300000000000004</v>
      </c>
      <c r="C67" s="46">
        <f>C53</f>
        <v>1374.7501338999998</v>
      </c>
    </row>
    <row r="68" spans="1:5" x14ac:dyDescent="0.25">
      <c r="A68" s="69" t="s">
        <v>38</v>
      </c>
      <c r="B68" s="70"/>
      <c r="C68" s="46">
        <f>C62</f>
        <v>722.67539999999997</v>
      </c>
    </row>
    <row r="69" spans="1:5" x14ac:dyDescent="0.25">
      <c r="A69" s="153" t="s">
        <v>0</v>
      </c>
      <c r="B69" s="71">
        <f>SUM(B66:B68)</f>
        <v>0.55730000000000002</v>
      </c>
      <c r="C69" s="58">
        <f>SUM(C66:C68)</f>
        <v>3173.9284943457696</v>
      </c>
      <c r="D69" s="36"/>
      <c r="E69" s="100"/>
    </row>
    <row r="70" spans="1:5" s="36" customFormat="1" ht="9.75" customHeight="1" x14ac:dyDescent="0.25">
      <c r="A70" s="72"/>
      <c r="B70" s="73"/>
      <c r="C70" s="74"/>
    </row>
    <row r="71" spans="1:5" s="37" customFormat="1" x14ac:dyDescent="0.25">
      <c r="A71" s="48" t="s">
        <v>39</v>
      </c>
      <c r="B71" s="49"/>
      <c r="C71" s="50"/>
    </row>
    <row r="72" spans="1:5" x14ac:dyDescent="0.25">
      <c r="A72" s="51" t="s">
        <v>40</v>
      </c>
      <c r="B72" s="64"/>
      <c r="C72" s="53" t="s">
        <v>31</v>
      </c>
    </row>
    <row r="73" spans="1:5" x14ac:dyDescent="0.25">
      <c r="A73" s="44" t="s">
        <v>16</v>
      </c>
      <c r="B73" s="45">
        <f>'ES Memória de Cálculo'!B24</f>
        <v>1.94E-4</v>
      </c>
      <c r="C73" s="46">
        <f t="shared" ref="C73:C78" si="1">B73*C$33</f>
        <v>0.75552840220000006</v>
      </c>
      <c r="E73" s="104"/>
    </row>
    <row r="74" spans="1:5" x14ac:dyDescent="0.25">
      <c r="A74" s="75" t="s">
        <v>17</v>
      </c>
      <c r="B74" s="76">
        <f>'ES Memória de Cálculo'!B25</f>
        <v>1.552E-5</v>
      </c>
      <c r="C74" s="46">
        <f>B74*C$33</f>
        <v>6.0442272176000005E-2</v>
      </c>
    </row>
    <row r="75" spans="1:5" s="1" customFormat="1" x14ac:dyDescent="0.25">
      <c r="A75" s="75" t="s">
        <v>151</v>
      </c>
      <c r="B75" s="45">
        <f>'ES Memória de Cálculo'!B26</f>
        <v>3.4000000000000002E-2</v>
      </c>
      <c r="C75" s="46">
        <f>B75*C$33</f>
        <v>132.41219420000002</v>
      </c>
    </row>
    <row r="76" spans="1:5" s="36" customFormat="1" x14ac:dyDescent="0.25">
      <c r="A76" s="77" t="s">
        <v>152</v>
      </c>
      <c r="B76" s="78">
        <f>'ES Memória de Cálculo'!B27</f>
        <v>1.9444444444444446E-4</v>
      </c>
      <c r="C76" s="79">
        <f t="shared" si="1"/>
        <v>0.75725928055555569</v>
      </c>
    </row>
    <row r="77" spans="1:5" x14ac:dyDescent="0.25">
      <c r="A77" s="75" t="s">
        <v>153</v>
      </c>
      <c r="B77" s="45">
        <f>'ES Memória de Cálculo'!B28</f>
        <v>6.8638888888888902E-5</v>
      </c>
      <c r="C77" s="46">
        <f t="shared" si="1"/>
        <v>0.26731252603611116</v>
      </c>
    </row>
    <row r="78" spans="1:5" x14ac:dyDescent="0.25">
      <c r="A78" s="75" t="s">
        <v>154</v>
      </c>
      <c r="B78" s="45">
        <f>'ES Memória de Cálculo'!B29</f>
        <v>6.0000000000000001E-3</v>
      </c>
      <c r="C78" s="46">
        <f t="shared" si="1"/>
        <v>23.366857800000002</v>
      </c>
    </row>
    <row r="79" spans="1:5" x14ac:dyDescent="0.25">
      <c r="A79" s="153" t="s">
        <v>18</v>
      </c>
      <c r="B79" s="71">
        <f>SUM(B73:B78)</f>
        <v>4.0472603333333329E-2</v>
      </c>
      <c r="C79" s="58">
        <f>SUM(C73:C78)</f>
        <v>157.61959448096766</v>
      </c>
      <c r="D79" s="36"/>
    </row>
    <row r="80" spans="1:5" ht="6" customHeight="1" x14ac:dyDescent="0.25">
      <c r="A80" s="59"/>
      <c r="B80" s="65"/>
      <c r="C80" s="60"/>
    </row>
    <row r="81" spans="1:9" s="37" customFormat="1" x14ac:dyDescent="0.25">
      <c r="A81" s="48" t="s">
        <v>41</v>
      </c>
      <c r="B81" s="49"/>
      <c r="C81" s="50"/>
    </row>
    <row r="82" spans="1:9" x14ac:dyDescent="0.25">
      <c r="A82" s="51" t="s">
        <v>42</v>
      </c>
      <c r="B82" s="64"/>
      <c r="C82" s="53" t="s">
        <v>31</v>
      </c>
    </row>
    <row r="83" spans="1:9" x14ac:dyDescent="0.25">
      <c r="A83" s="44" t="s">
        <v>108</v>
      </c>
      <c r="B83" s="78">
        <f>'ES Memória de Cálculo'!B34</f>
        <v>9.4999999999999998E-3</v>
      </c>
      <c r="C83" s="46">
        <f t="shared" ref="C83:C88" si="2">B83*C$33</f>
        <v>36.997524850000005</v>
      </c>
    </row>
    <row r="84" spans="1:9" x14ac:dyDescent="0.25">
      <c r="A84" s="44" t="s">
        <v>109</v>
      </c>
      <c r="B84" s="45">
        <f>'ES Memória de Cálculo'!B35</f>
        <v>1.6444444444444446E-4</v>
      </c>
      <c r="C84" s="46">
        <f t="shared" si="2"/>
        <v>0.64042499155555566</v>
      </c>
    </row>
    <row r="85" spans="1:9" x14ac:dyDescent="0.25">
      <c r="A85" s="44" t="s">
        <v>110</v>
      </c>
      <c r="B85" s="45">
        <f>'ES Memória de Cálculo'!B36</f>
        <v>0</v>
      </c>
      <c r="C85" s="46">
        <f t="shared" si="2"/>
        <v>0</v>
      </c>
    </row>
    <row r="86" spans="1:9" x14ac:dyDescent="0.25">
      <c r="A86" s="44" t="s">
        <v>111</v>
      </c>
      <c r="B86" s="45">
        <f>'ES Memória de Cálculo'!B37</f>
        <v>2.0833333333333332E-4</v>
      </c>
      <c r="C86" s="46">
        <f t="shared" si="2"/>
        <v>0.81134922916666663</v>
      </c>
    </row>
    <row r="87" spans="1:9" x14ac:dyDescent="0.25">
      <c r="A87" s="44" t="s">
        <v>112</v>
      </c>
      <c r="B87" s="45">
        <f>'ES Memória de Cálculo'!B38</f>
        <v>0</v>
      </c>
      <c r="C87" s="46">
        <f t="shared" si="2"/>
        <v>0</v>
      </c>
    </row>
    <row r="88" spans="1:9" ht="15.75" customHeight="1" x14ac:dyDescent="0.25">
      <c r="A88" s="182" t="s">
        <v>220</v>
      </c>
      <c r="B88" s="184"/>
      <c r="C88" s="183">
        <f t="shared" si="2"/>
        <v>0</v>
      </c>
    </row>
    <row r="89" spans="1:9" ht="15" customHeight="1" x14ac:dyDescent="0.25">
      <c r="A89" s="80" t="s">
        <v>69</v>
      </c>
      <c r="B89" s="65">
        <f>'ES Memória de Cálculo'!B40</f>
        <v>9.8727777777777772E-3</v>
      </c>
      <c r="C89" s="66">
        <f>SUM(C83:C88)</f>
        <v>38.449299070722226</v>
      </c>
    </row>
    <row r="90" spans="1:9" x14ac:dyDescent="0.25">
      <c r="A90" s="75" t="s">
        <v>113</v>
      </c>
      <c r="B90" s="45">
        <f>'ES Memória de Cálculo'!B41</f>
        <v>3.4850905555555557E-3</v>
      </c>
      <c r="C90" s="46">
        <f>C33*B90</f>
        <v>13.572602571964946</v>
      </c>
      <c r="D90" s="85"/>
    </row>
    <row r="91" spans="1:9" ht="15" customHeight="1" x14ac:dyDescent="0.25">
      <c r="A91" s="153" t="s">
        <v>0</v>
      </c>
      <c r="B91" s="71">
        <f>SUM(B89:B90)</f>
        <v>1.3357868333333333E-2</v>
      </c>
      <c r="C91" s="58">
        <f>SUM(C89:C90)</f>
        <v>52.021901642687169</v>
      </c>
      <c r="E91" s="100"/>
    </row>
    <row r="92" spans="1:9" x14ac:dyDescent="0.25">
      <c r="A92" s="51" t="s">
        <v>43</v>
      </c>
      <c r="B92" s="64"/>
      <c r="C92" s="53" t="s">
        <v>5</v>
      </c>
    </row>
    <row r="93" spans="1:9" x14ac:dyDescent="0.25">
      <c r="A93" s="44" t="s">
        <v>44</v>
      </c>
      <c r="B93" s="45"/>
      <c r="C93" s="81">
        <v>0</v>
      </c>
    </row>
    <row r="94" spans="1:9" ht="6" customHeight="1" x14ac:dyDescent="0.25">
      <c r="A94" s="59"/>
      <c r="B94" s="65"/>
      <c r="C94" s="60"/>
    </row>
    <row r="95" spans="1:9" ht="15" customHeight="1" x14ac:dyDescent="0.25">
      <c r="A95" s="153" t="s">
        <v>48</v>
      </c>
      <c r="B95" s="71"/>
      <c r="C95" s="58">
        <f>SUM(C92:C93)</f>
        <v>0</v>
      </c>
    </row>
    <row r="96" spans="1:9" s="34" customFormat="1" ht="33" customHeight="1" x14ac:dyDescent="0.25">
      <c r="A96" s="441" t="s">
        <v>119</v>
      </c>
      <c r="B96" s="442"/>
      <c r="C96" s="443"/>
      <c r="D96" s="95"/>
      <c r="E96" s="95"/>
      <c r="F96" s="95"/>
      <c r="G96" s="95"/>
      <c r="H96" s="95"/>
      <c r="I96" s="95"/>
    </row>
    <row r="97" spans="1:5" x14ac:dyDescent="0.25">
      <c r="A97" s="61" t="s">
        <v>45</v>
      </c>
      <c r="B97" s="62"/>
      <c r="C97" s="63"/>
    </row>
    <row r="98" spans="1:5" x14ac:dyDescent="0.25">
      <c r="A98" s="154" t="s">
        <v>19</v>
      </c>
      <c r="B98" s="154"/>
      <c r="C98" s="53" t="s">
        <v>5</v>
      </c>
    </row>
    <row r="99" spans="1:5" x14ac:dyDescent="0.25">
      <c r="A99" s="69" t="s">
        <v>46</v>
      </c>
      <c r="B99" s="70">
        <f>'ES Memória de Cálculo'!B42</f>
        <v>1.3357868333333333E-2</v>
      </c>
      <c r="C99" s="46">
        <f>C91</f>
        <v>52.021901642687169</v>
      </c>
    </row>
    <row r="100" spans="1:5" s="37" customFormat="1" x14ac:dyDescent="0.25">
      <c r="A100" s="69" t="s">
        <v>47</v>
      </c>
      <c r="B100" s="70"/>
      <c r="C100" s="66">
        <f>C93</f>
        <v>0</v>
      </c>
    </row>
    <row r="101" spans="1:5" x14ac:dyDescent="0.25">
      <c r="A101" s="153" t="s">
        <v>0</v>
      </c>
      <c r="B101" s="71">
        <f>SUM(B99:B100)</f>
        <v>1.3357868333333333E-2</v>
      </c>
      <c r="C101" s="58">
        <f>SUM(C99:C100)</f>
        <v>52.021901642687169</v>
      </c>
    </row>
    <row r="102" spans="1:5" s="36" customFormat="1" x14ac:dyDescent="0.25">
      <c r="A102" s="72"/>
      <c r="B102" s="73"/>
      <c r="C102" s="74"/>
    </row>
    <row r="103" spans="1:5" s="37" customFormat="1" x14ac:dyDescent="0.25">
      <c r="A103" s="48" t="s">
        <v>49</v>
      </c>
      <c r="B103" s="49"/>
      <c r="C103" s="50"/>
    </row>
    <row r="104" spans="1:5" x14ac:dyDescent="0.25">
      <c r="A104" s="51" t="s">
        <v>50</v>
      </c>
      <c r="B104" s="52"/>
      <c r="C104" s="53" t="s">
        <v>5</v>
      </c>
    </row>
    <row r="105" spans="1:5" x14ac:dyDescent="0.25">
      <c r="A105" s="44" t="s">
        <v>13</v>
      </c>
      <c r="B105" s="54"/>
      <c r="C105" s="46">
        <f>uniforme2!I30</f>
        <v>32.875</v>
      </c>
    </row>
    <row r="106" spans="1:5" x14ac:dyDescent="0.25">
      <c r="A106" s="44" t="s">
        <v>218</v>
      </c>
      <c r="B106" s="54"/>
      <c r="C106" s="46">
        <f>Equip!H16-0.0029</f>
        <v>3.236475</v>
      </c>
      <c r="E106" s="158">
        <f ca="1">Proposta!K32</f>
        <v>5388917.4376372732</v>
      </c>
    </row>
    <row r="107" spans="1:5" x14ac:dyDescent="0.25">
      <c r="A107" s="44" t="s">
        <v>331</v>
      </c>
      <c r="B107" s="54"/>
      <c r="C107" s="46">
        <f>Moto!G9</f>
        <v>298.38333333333333</v>
      </c>
    </row>
    <row r="108" spans="1:5" x14ac:dyDescent="0.25">
      <c r="A108" s="44" t="s">
        <v>334</v>
      </c>
      <c r="B108" s="54"/>
      <c r="C108" s="46">
        <f>Equip!H24</f>
        <v>10.416666666666666</v>
      </c>
    </row>
    <row r="109" spans="1:5" x14ac:dyDescent="0.25">
      <c r="A109" s="153" t="s">
        <v>14</v>
      </c>
      <c r="B109" s="71"/>
      <c r="C109" s="58">
        <f>SUM(C105:C108)</f>
        <v>344.911475</v>
      </c>
    </row>
    <row r="110" spans="1:5" x14ac:dyDescent="0.25">
      <c r="A110" s="59"/>
      <c r="B110" s="55"/>
      <c r="C110" s="60"/>
    </row>
    <row r="111" spans="1:5" x14ac:dyDescent="0.25">
      <c r="A111" s="48" t="s">
        <v>51</v>
      </c>
      <c r="B111" s="49"/>
      <c r="C111" s="50"/>
    </row>
    <row r="112" spans="1:5" x14ac:dyDescent="0.25">
      <c r="A112" s="51" t="s">
        <v>52</v>
      </c>
      <c r="B112" s="52"/>
      <c r="C112" s="82" t="s">
        <v>5</v>
      </c>
    </row>
    <row r="113" spans="1:5" x14ac:dyDescent="0.25">
      <c r="A113" s="44" t="s">
        <v>20</v>
      </c>
      <c r="B113" s="45">
        <f>'5-AD'!B113</f>
        <v>0.01</v>
      </c>
      <c r="C113" s="46">
        <f>C129*B113</f>
        <v>76.229577654694253</v>
      </c>
      <c r="D113" s="85"/>
      <c r="E113" s="158" t="e">
        <f>#REF!</f>
        <v>#REF!</v>
      </c>
    </row>
    <row r="114" spans="1:5" x14ac:dyDescent="0.25">
      <c r="A114" s="44" t="s">
        <v>21</v>
      </c>
      <c r="B114" s="45">
        <v>1.35E-2</v>
      </c>
      <c r="C114" s="46">
        <f>(C129+C113)*B114</f>
        <v>103.93902913217561</v>
      </c>
      <c r="E114" s="158"/>
    </row>
    <row r="115" spans="1:5" x14ac:dyDescent="0.25">
      <c r="A115" s="44" t="s">
        <v>22</v>
      </c>
      <c r="B115" s="45">
        <f>SUM(B116:B118)</f>
        <v>8.6499999999999994E-2</v>
      </c>
      <c r="C115" s="46">
        <f ca="1">C131*B115</f>
        <v>738.88388746597639</v>
      </c>
      <c r="E115" s="158"/>
    </row>
    <row r="116" spans="1:5" x14ac:dyDescent="0.25">
      <c r="A116" s="44" t="s">
        <v>120</v>
      </c>
      <c r="B116" s="102">
        <v>3.6499999999999998E-2</v>
      </c>
      <c r="C116" s="103">
        <f ca="1">C131*B116</f>
        <v>311.78337447986286</v>
      </c>
    </row>
    <row r="117" spans="1:5" x14ac:dyDescent="0.25">
      <c r="A117" s="44" t="s">
        <v>23</v>
      </c>
      <c r="B117" s="102">
        <v>0</v>
      </c>
      <c r="C117" s="103"/>
      <c r="E117" s="158"/>
    </row>
    <row r="118" spans="1:5" x14ac:dyDescent="0.25">
      <c r="A118" s="44" t="s">
        <v>24</v>
      </c>
      <c r="B118" s="102">
        <v>0.05</v>
      </c>
      <c r="C118" s="103">
        <f ca="1">C133*B118</f>
        <v>854.20102597222706</v>
      </c>
      <c r="E118" s="158"/>
    </row>
    <row r="119" spans="1:5" x14ac:dyDescent="0.25">
      <c r="A119" s="44" t="s">
        <v>25</v>
      </c>
      <c r="B119" s="54"/>
      <c r="C119" s="46"/>
    </row>
    <row r="120" spans="1:5" x14ac:dyDescent="0.25">
      <c r="A120" s="153" t="s">
        <v>26</v>
      </c>
      <c r="B120" s="71"/>
      <c r="C120" s="58">
        <f ca="1">SUM(C113:C115)</f>
        <v>919.05249425284626</v>
      </c>
      <c r="E120" s="158"/>
    </row>
    <row r="121" spans="1:5" x14ac:dyDescent="0.25">
      <c r="A121" s="59"/>
      <c r="B121" s="55"/>
      <c r="C121" s="60"/>
    </row>
    <row r="122" spans="1:5" x14ac:dyDescent="0.25">
      <c r="A122" s="451" t="s">
        <v>27</v>
      </c>
      <c r="B122" s="451"/>
      <c r="C122" s="451"/>
    </row>
    <row r="123" spans="1:5" x14ac:dyDescent="0.25">
      <c r="A123" s="452" t="s">
        <v>28</v>
      </c>
      <c r="B123" s="452"/>
      <c r="C123" s="53" t="s">
        <v>5</v>
      </c>
    </row>
    <row r="124" spans="1:5" x14ac:dyDescent="0.25">
      <c r="A124" s="453" t="s">
        <v>29</v>
      </c>
      <c r="B124" s="453"/>
      <c r="C124" s="60">
        <f>C33</f>
        <v>3894.4763000000003</v>
      </c>
    </row>
    <row r="125" spans="1:5" x14ac:dyDescent="0.25">
      <c r="A125" s="453" t="s">
        <v>53</v>
      </c>
      <c r="B125" s="453"/>
      <c r="C125" s="60">
        <f>C69</f>
        <v>3173.9284943457696</v>
      </c>
    </row>
    <row r="126" spans="1:5" x14ac:dyDescent="0.25">
      <c r="A126" s="453" t="s">
        <v>54</v>
      </c>
      <c r="B126" s="453"/>
      <c r="C126" s="60">
        <f>C79</f>
        <v>157.61959448096766</v>
      </c>
    </row>
    <row r="127" spans="1:5" x14ac:dyDescent="0.25">
      <c r="A127" s="453" t="s">
        <v>55</v>
      </c>
      <c r="B127" s="453"/>
      <c r="C127" s="60">
        <f>C101</f>
        <v>52.021901642687169</v>
      </c>
    </row>
    <row r="128" spans="1:5" x14ac:dyDescent="0.25">
      <c r="A128" s="453" t="s">
        <v>56</v>
      </c>
      <c r="B128" s="453"/>
      <c r="C128" s="60">
        <f>C109</f>
        <v>344.911475</v>
      </c>
    </row>
    <row r="129" spans="1:5" x14ac:dyDescent="0.25">
      <c r="A129" s="454" t="s">
        <v>58</v>
      </c>
      <c r="B129" s="454"/>
      <c r="C129" s="60">
        <f>SUM(C124:C128)</f>
        <v>7622.9577654694249</v>
      </c>
    </row>
    <row r="130" spans="1:5" x14ac:dyDescent="0.25">
      <c r="A130" s="453" t="s">
        <v>57</v>
      </c>
      <c r="B130" s="453"/>
      <c r="C130" s="60">
        <f ca="1">C120</f>
        <v>919.05249425284626</v>
      </c>
    </row>
    <row r="131" spans="1:5" ht="15.75" customHeight="1" x14ac:dyDescent="0.25">
      <c r="A131" s="450" t="s">
        <v>30</v>
      </c>
      <c r="B131" s="450"/>
      <c r="C131" s="58">
        <f ca="1">SUM(C129:C130)</f>
        <v>8542.0102597222703</v>
      </c>
      <c r="D131" s="85">
        <f ca="1">(C124+C125+C126+C127+C128+C130)/C124</f>
        <v>2.193365577734359</v>
      </c>
    </row>
    <row r="132" spans="1:5" x14ac:dyDescent="0.25">
      <c r="A132" s="455"/>
      <c r="B132" s="456"/>
      <c r="C132" s="457"/>
    </row>
    <row r="133" spans="1:5" ht="15.75" customHeight="1" x14ac:dyDescent="0.25">
      <c r="A133" s="450" t="s">
        <v>277</v>
      </c>
      <c r="B133" s="450"/>
      <c r="C133" s="58">
        <f ca="1">C131*2</f>
        <v>17084.020519444541</v>
      </c>
      <c r="E133" s="85"/>
    </row>
    <row r="134" spans="1:5" x14ac:dyDescent="0.25">
      <c r="B134" s="35"/>
      <c r="C134" s="35"/>
    </row>
    <row r="135" spans="1:5" x14ac:dyDescent="0.25">
      <c r="B135" s="35"/>
      <c r="C135" s="35"/>
    </row>
    <row r="136" spans="1:5" x14ac:dyDescent="0.25">
      <c r="B136" s="35"/>
      <c r="C136" s="35"/>
    </row>
    <row r="137" spans="1:5" x14ac:dyDescent="0.25">
      <c r="B137" s="35"/>
      <c r="C137" s="35"/>
    </row>
    <row r="138" spans="1:5" x14ac:dyDescent="0.25">
      <c r="B138" s="35"/>
      <c r="C138" s="35"/>
    </row>
    <row r="139" spans="1:5" x14ac:dyDescent="0.25">
      <c r="B139" s="35"/>
      <c r="C139" s="35"/>
    </row>
    <row r="140" spans="1:5" x14ac:dyDescent="0.25">
      <c r="B140" s="35"/>
      <c r="C140" s="35"/>
    </row>
    <row r="141" spans="1:5" x14ac:dyDescent="0.25">
      <c r="B141" s="35"/>
      <c r="C141" s="35"/>
    </row>
    <row r="142" spans="1:5" x14ac:dyDescent="0.25">
      <c r="B142" s="35"/>
      <c r="C142" s="35"/>
    </row>
    <row r="143" spans="1:5" x14ac:dyDescent="0.25">
      <c r="A143" s="38"/>
      <c r="B143" s="35"/>
      <c r="C143" s="35"/>
    </row>
    <row r="144" spans="1:5" x14ac:dyDescent="0.25">
      <c r="B144" s="35"/>
      <c r="C144" s="35"/>
    </row>
    <row r="145" s="35" customFormat="1" x14ac:dyDescent="0.25"/>
    <row r="146" s="35" customFormat="1" x14ac:dyDescent="0.25"/>
    <row r="147" s="35" customFormat="1" x14ac:dyDescent="0.25"/>
    <row r="148" s="35" customFormat="1" x14ac:dyDescent="0.25"/>
    <row r="149" s="35" customFormat="1" x14ac:dyDescent="0.25"/>
    <row r="150" s="35" customFormat="1" x14ac:dyDescent="0.25"/>
    <row r="151" s="35" customFormat="1" x14ac:dyDescent="0.25"/>
    <row r="152" s="35" customFormat="1" x14ac:dyDescent="0.25"/>
    <row r="153" s="35" customFormat="1" x14ac:dyDescent="0.25"/>
    <row r="154" s="35" customFormat="1" x14ac:dyDescent="0.25"/>
    <row r="155" s="35" customFormat="1" x14ac:dyDescent="0.25"/>
    <row r="156" s="35" customFormat="1" x14ac:dyDescent="0.25"/>
    <row r="157" s="35" customFormat="1" x14ac:dyDescent="0.25"/>
    <row r="158" s="35" customFormat="1" x14ac:dyDescent="0.25"/>
    <row r="159" s="35" customFormat="1" x14ac:dyDescent="0.25"/>
    <row r="160" s="35" customFormat="1" x14ac:dyDescent="0.25"/>
    <row r="161" s="35" customFormat="1" x14ac:dyDescent="0.25"/>
    <row r="162" s="35" customFormat="1" x14ac:dyDescent="0.25"/>
    <row r="163" s="35" customFormat="1" x14ac:dyDescent="0.25"/>
    <row r="164" s="35" customFormat="1" x14ac:dyDescent="0.25"/>
    <row r="165" s="35" customFormat="1" x14ac:dyDescent="0.25"/>
    <row r="166" s="35" customFormat="1" x14ac:dyDescent="0.25"/>
    <row r="167" s="35" customFormat="1" x14ac:dyDescent="0.25"/>
    <row r="168" s="35" customFormat="1" x14ac:dyDescent="0.25"/>
    <row r="169" s="35" customFormat="1" x14ac:dyDescent="0.25"/>
    <row r="170" s="35" customFormat="1" x14ac:dyDescent="0.25"/>
    <row r="171" s="35" customFormat="1" x14ac:dyDescent="0.25"/>
    <row r="172" s="35" customFormat="1" x14ac:dyDescent="0.25"/>
    <row r="173" s="35" customFormat="1" x14ac:dyDescent="0.25"/>
    <row r="174" s="35" customFormat="1" x14ac:dyDescent="0.25"/>
    <row r="175" s="35" customFormat="1" x14ac:dyDescent="0.25"/>
    <row r="176" s="35" customFormat="1" x14ac:dyDescent="0.25"/>
    <row r="177" s="35" customFormat="1" x14ac:dyDescent="0.25"/>
    <row r="178" s="35" customFormat="1" x14ac:dyDescent="0.25"/>
    <row r="179" s="35" customFormat="1" x14ac:dyDescent="0.25"/>
    <row r="180" s="35" customFormat="1" x14ac:dyDescent="0.25"/>
    <row r="181" s="35" customFormat="1" x14ac:dyDescent="0.25"/>
    <row r="182" s="35" customFormat="1" x14ac:dyDescent="0.25"/>
    <row r="183" s="35" customFormat="1" x14ac:dyDescent="0.25"/>
    <row r="184" s="35" customFormat="1" x14ac:dyDescent="0.25"/>
    <row r="185" s="35" customFormat="1" x14ac:dyDescent="0.25"/>
    <row r="186" s="35" customFormat="1" x14ac:dyDescent="0.25"/>
    <row r="187" s="35" customFormat="1" x14ac:dyDescent="0.25"/>
    <row r="188" s="35" customFormat="1" x14ac:dyDescent="0.25"/>
    <row r="189" s="35" customFormat="1" x14ac:dyDescent="0.25"/>
    <row r="190" s="35" customFormat="1" x14ac:dyDescent="0.25"/>
    <row r="191" s="35" customFormat="1" x14ac:dyDescent="0.25"/>
    <row r="192" s="35" customFormat="1" x14ac:dyDescent="0.25"/>
    <row r="193" s="35" customFormat="1" x14ac:dyDescent="0.25"/>
    <row r="194" s="35" customFormat="1" x14ac:dyDescent="0.25"/>
    <row r="195" s="35" customFormat="1" x14ac:dyDescent="0.25"/>
    <row r="196" s="35" customFormat="1" x14ac:dyDescent="0.25"/>
    <row r="197" s="35" customFormat="1" x14ac:dyDescent="0.25"/>
    <row r="198" s="35" customFormat="1" x14ac:dyDescent="0.25"/>
    <row r="199" s="35" customFormat="1" x14ac:dyDescent="0.25"/>
    <row r="200" s="35" customFormat="1" x14ac:dyDescent="0.25"/>
    <row r="201" s="35" customFormat="1" x14ac:dyDescent="0.25"/>
    <row r="202" s="35" customFormat="1" x14ac:dyDescent="0.25"/>
    <row r="203" s="35" customFormat="1" x14ac:dyDescent="0.25"/>
    <row r="204" s="35" customFormat="1" x14ac:dyDescent="0.25"/>
    <row r="205" s="35" customFormat="1" x14ac:dyDescent="0.25"/>
    <row r="206" s="35" customFormat="1" x14ac:dyDescent="0.25"/>
    <row r="207" s="35" customFormat="1" x14ac:dyDescent="0.25"/>
    <row r="208" s="35" customFormat="1" x14ac:dyDescent="0.25"/>
    <row r="209" s="35" customFormat="1" x14ac:dyDescent="0.25"/>
    <row r="210" s="35" customFormat="1" x14ac:dyDescent="0.25"/>
    <row r="211" s="35" customFormat="1" x14ac:dyDescent="0.25"/>
    <row r="212" s="35" customFormat="1" x14ac:dyDescent="0.25"/>
    <row r="213" s="35" customFormat="1" x14ac:dyDescent="0.25"/>
    <row r="214" s="35" customFormat="1" x14ac:dyDescent="0.25"/>
    <row r="215" s="35" customFormat="1" x14ac:dyDescent="0.25"/>
    <row r="216" s="35" customFormat="1" x14ac:dyDescent="0.25"/>
    <row r="217" s="35" customFormat="1" x14ac:dyDescent="0.25"/>
    <row r="218" s="35" customFormat="1" x14ac:dyDescent="0.25"/>
    <row r="219" s="35" customFormat="1" x14ac:dyDescent="0.25"/>
    <row r="220" s="35" customFormat="1" x14ac:dyDescent="0.25"/>
    <row r="221" s="35" customFormat="1" x14ac:dyDescent="0.25"/>
    <row r="222" s="35" customFormat="1" x14ac:dyDescent="0.25"/>
    <row r="223" s="35" customFormat="1" x14ac:dyDescent="0.25"/>
    <row r="224" s="35" customFormat="1" x14ac:dyDescent="0.25"/>
    <row r="225" s="35" customFormat="1" x14ac:dyDescent="0.25"/>
  </sheetData>
  <mergeCells count="36">
    <mergeCell ref="A133:B133"/>
    <mergeCell ref="A122:C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C132"/>
    <mergeCell ref="A96:C96"/>
    <mergeCell ref="B18:C18"/>
    <mergeCell ref="B19:C19"/>
    <mergeCell ref="B20:C20"/>
    <mergeCell ref="B21:C21"/>
    <mergeCell ref="B22:C22"/>
    <mergeCell ref="A23:C23"/>
    <mergeCell ref="A34:C34"/>
    <mergeCell ref="A43:C43"/>
    <mergeCell ref="A44:C44"/>
    <mergeCell ref="A54:C54"/>
    <mergeCell ref="A63:C63"/>
    <mergeCell ref="A17:C17"/>
    <mergeCell ref="A1:C1"/>
    <mergeCell ref="A2:C2"/>
    <mergeCell ref="A5:C5"/>
    <mergeCell ref="A6:C6"/>
    <mergeCell ref="B7:C7"/>
    <mergeCell ref="B8:C8"/>
    <mergeCell ref="B9:C9"/>
    <mergeCell ref="B10:C10"/>
    <mergeCell ref="A14:B14"/>
    <mergeCell ref="A15:C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topLeftCell="A10" workbookViewId="0">
      <selection activeCell="A5" sqref="A5"/>
    </sheetView>
  </sheetViews>
  <sheetFormatPr defaultRowHeight="12.75" x14ac:dyDescent="0.25"/>
  <cols>
    <col min="1" max="1" width="46.28515625" style="192" customWidth="1"/>
    <col min="2" max="2" width="5.7109375" style="192" customWidth="1"/>
    <col min="3" max="3" width="5.5703125" style="192" customWidth="1"/>
    <col min="4" max="4" width="10.5703125" style="192" customWidth="1"/>
    <col min="5" max="5" width="11.85546875" style="192" customWidth="1"/>
    <col min="6" max="6" width="11.140625" style="192" customWidth="1"/>
    <col min="7" max="7" width="14.140625" style="192" customWidth="1"/>
    <col min="8" max="8" width="5.140625" style="192" customWidth="1"/>
    <col min="9" max="16384" width="9.140625" style="192"/>
  </cols>
  <sheetData>
    <row r="1" spans="1:9" ht="17.25" customHeight="1" x14ac:dyDescent="0.25">
      <c r="A1" s="458" t="s">
        <v>231</v>
      </c>
      <c r="B1" s="458"/>
      <c r="C1" s="458"/>
      <c r="D1" s="458"/>
      <c r="E1" s="458"/>
      <c r="F1" s="458"/>
      <c r="G1" s="458"/>
      <c r="H1" s="458"/>
    </row>
    <row r="2" spans="1:9" ht="12.75" customHeight="1" x14ac:dyDescent="0.25">
      <c r="A2" s="459" t="s">
        <v>329</v>
      </c>
      <c r="B2" s="460"/>
      <c r="C2" s="460"/>
      <c r="D2" s="460"/>
      <c r="E2" s="460"/>
      <c r="F2" s="460"/>
      <c r="G2" s="461"/>
    </row>
    <row r="3" spans="1:9" ht="20.85" customHeight="1" x14ac:dyDescent="0.25">
      <c r="A3" s="193" t="s">
        <v>232</v>
      </c>
      <c r="B3" s="194" t="s">
        <v>233</v>
      </c>
      <c r="C3" s="194" t="s">
        <v>234</v>
      </c>
      <c r="D3" s="195" t="s">
        <v>235</v>
      </c>
      <c r="E3" s="195" t="s">
        <v>236</v>
      </c>
      <c r="F3" s="194" t="s">
        <v>237</v>
      </c>
      <c r="G3" s="195" t="s">
        <v>238</v>
      </c>
    </row>
    <row r="4" spans="1:9" ht="49.5" customHeight="1" x14ac:dyDescent="0.25">
      <c r="A4" s="283" t="s">
        <v>300</v>
      </c>
      <c r="B4" s="240" t="s">
        <v>239</v>
      </c>
      <c r="C4" s="198">
        <v>3</v>
      </c>
      <c r="D4" s="203">
        <v>7500</v>
      </c>
      <c r="E4" s="204">
        <f>D4*C4</f>
        <v>22500</v>
      </c>
      <c r="F4" s="199">
        <v>24</v>
      </c>
      <c r="G4" s="204">
        <f>E4/F4</f>
        <v>937.5</v>
      </c>
    </row>
    <row r="5" spans="1:9" ht="53.25" customHeight="1" x14ac:dyDescent="0.25">
      <c r="A5" s="240" t="s">
        <v>332</v>
      </c>
      <c r="B5" s="240" t="s">
        <v>239</v>
      </c>
      <c r="C5" s="198">
        <f>295*30</f>
        <v>8850</v>
      </c>
      <c r="D5" s="203">
        <v>6.9</v>
      </c>
      <c r="E5" s="204">
        <f>(D5/30)*C5</f>
        <v>2035.5</v>
      </c>
      <c r="F5" s="199">
        <v>1</v>
      </c>
      <c r="G5" s="204">
        <f>E5/F5</f>
        <v>2035.5</v>
      </c>
    </row>
    <row r="6" spans="1:9" ht="36" customHeight="1" x14ac:dyDescent="0.25">
      <c r="A6" s="240" t="s">
        <v>301</v>
      </c>
      <c r="B6" s="240" t="s">
        <v>330</v>
      </c>
      <c r="C6" s="198">
        <v>10</v>
      </c>
      <c r="D6" s="203">
        <v>65</v>
      </c>
      <c r="E6" s="204">
        <f>D6*C6</f>
        <v>650</v>
      </c>
      <c r="F6" s="199">
        <v>60</v>
      </c>
      <c r="G6" s="204">
        <f>E6/F6</f>
        <v>10.833333333333334</v>
      </c>
    </row>
    <row r="7" spans="1:9" ht="12.75" customHeight="1" x14ac:dyDescent="0.25">
      <c r="A7" s="462" t="s">
        <v>199</v>
      </c>
      <c r="B7" s="462"/>
      <c r="C7" s="462"/>
      <c r="D7" s="462"/>
      <c r="E7" s="462"/>
      <c r="F7" s="463"/>
      <c r="G7" s="206">
        <f>SUM(G4:G6)</f>
        <v>2983.8333333333335</v>
      </c>
      <c r="I7" s="202"/>
    </row>
    <row r="8" spans="1:9" ht="15" customHeight="1" x14ac:dyDescent="0.25">
      <c r="A8" s="462" t="s">
        <v>242</v>
      </c>
      <c r="B8" s="462"/>
      <c r="C8" s="462"/>
      <c r="D8" s="462"/>
      <c r="E8" s="462"/>
      <c r="F8" s="463"/>
      <c r="G8" s="243">
        <v>10</v>
      </c>
    </row>
    <row r="9" spans="1:9" ht="18.75" customHeight="1" x14ac:dyDescent="0.25">
      <c r="A9" s="464" t="s">
        <v>240</v>
      </c>
      <c r="B9" s="462"/>
      <c r="C9" s="462"/>
      <c r="D9" s="462"/>
      <c r="E9" s="462"/>
      <c r="F9" s="463"/>
      <c r="G9" s="207">
        <f>G7/G8</f>
        <v>298.38333333333333</v>
      </c>
    </row>
  </sheetData>
  <mergeCells count="5">
    <mergeCell ref="A1:H1"/>
    <mergeCell ref="A2:G2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4"/>
  <sheetViews>
    <sheetView topLeftCell="A16" workbookViewId="0">
      <selection activeCell="E11" sqref="E11"/>
    </sheetView>
  </sheetViews>
  <sheetFormatPr defaultRowHeight="12.75" x14ac:dyDescent="0.25"/>
  <cols>
    <col min="1" max="1" width="9.140625" style="192"/>
    <col min="2" max="2" width="46.28515625" style="192" customWidth="1"/>
    <col min="3" max="3" width="5.7109375" style="192" customWidth="1"/>
    <col min="4" max="4" width="5.5703125" style="192" customWidth="1"/>
    <col min="5" max="5" width="10.5703125" style="192" customWidth="1"/>
    <col min="6" max="6" width="11.85546875" style="192" customWidth="1"/>
    <col min="7" max="7" width="11.140625" style="192" customWidth="1"/>
    <col min="8" max="8" width="14.140625" style="192" customWidth="1"/>
    <col min="9" max="9" width="5.140625" style="192" customWidth="1"/>
    <col min="10" max="16384" width="9.140625" style="192"/>
  </cols>
  <sheetData>
    <row r="1" spans="1:10" ht="17.25" customHeight="1" x14ac:dyDescent="0.25">
      <c r="B1" s="458" t="s">
        <v>314</v>
      </c>
      <c r="C1" s="458"/>
      <c r="D1" s="458"/>
      <c r="E1" s="458"/>
      <c r="F1" s="458"/>
      <c r="G1" s="458"/>
      <c r="H1" s="458"/>
      <c r="I1" s="458"/>
    </row>
    <row r="2" spans="1:10" ht="12.75" customHeight="1" x14ac:dyDescent="0.25">
      <c r="B2" s="459" t="s">
        <v>325</v>
      </c>
      <c r="C2" s="460"/>
      <c r="D2" s="460"/>
      <c r="E2" s="460"/>
      <c r="F2" s="460"/>
      <c r="G2" s="460"/>
      <c r="H2" s="461"/>
    </row>
    <row r="3" spans="1:10" ht="20.85" customHeight="1" x14ac:dyDescent="0.25">
      <c r="A3" s="193" t="s">
        <v>70</v>
      </c>
      <c r="B3" s="193" t="s">
        <v>232</v>
      </c>
      <c r="C3" s="194" t="s">
        <v>233</v>
      </c>
      <c r="D3" s="194" t="s">
        <v>234</v>
      </c>
      <c r="E3" s="195" t="s">
        <v>235</v>
      </c>
      <c r="F3" s="195" t="s">
        <v>236</v>
      </c>
      <c r="G3" s="194" t="s">
        <v>237</v>
      </c>
      <c r="H3" s="195" t="s">
        <v>238</v>
      </c>
    </row>
    <row r="4" spans="1:10" x14ac:dyDescent="0.25">
      <c r="A4" s="273">
        <v>1</v>
      </c>
      <c r="B4" s="277" t="s">
        <v>293</v>
      </c>
      <c r="C4" s="197" t="s">
        <v>239</v>
      </c>
      <c r="D4" s="198">
        <v>28</v>
      </c>
      <c r="E4" s="203">
        <v>5</v>
      </c>
      <c r="F4" s="204">
        <f>E4*D4</f>
        <v>140</v>
      </c>
      <c r="G4" s="199">
        <v>12</v>
      </c>
      <c r="H4" s="204">
        <f>F4/G4</f>
        <v>11.666666666666666</v>
      </c>
    </row>
    <row r="5" spans="1:10" x14ac:dyDescent="0.25">
      <c r="A5" s="273">
        <v>2</v>
      </c>
      <c r="B5" s="276" t="s">
        <v>294</v>
      </c>
      <c r="C5" s="197" t="s">
        <v>239</v>
      </c>
      <c r="D5" s="198">
        <v>56</v>
      </c>
      <c r="E5" s="203">
        <v>0.85</v>
      </c>
      <c r="F5" s="204">
        <f>E5*D5</f>
        <v>47.6</v>
      </c>
      <c r="G5" s="199">
        <v>12</v>
      </c>
      <c r="H5" s="204">
        <f>F5/G5</f>
        <v>3.9666666666666668</v>
      </c>
    </row>
    <row r="6" spans="1:10" x14ac:dyDescent="0.25">
      <c r="A6" s="273">
        <v>3</v>
      </c>
      <c r="B6" s="276" t="s">
        <v>295</v>
      </c>
      <c r="C6" s="200" t="s">
        <v>239</v>
      </c>
      <c r="D6" s="201">
        <v>28</v>
      </c>
      <c r="E6" s="205">
        <v>8</v>
      </c>
      <c r="F6" s="204">
        <f t="shared" ref="F6:F10" si="0">E6*D6</f>
        <v>224</v>
      </c>
      <c r="G6" s="199">
        <v>12</v>
      </c>
      <c r="H6" s="204">
        <f>F6/G6</f>
        <v>18.666666666666668</v>
      </c>
    </row>
    <row r="7" spans="1:10" x14ac:dyDescent="0.25">
      <c r="A7" s="273">
        <v>4</v>
      </c>
      <c r="B7" s="276" t="s">
        <v>296</v>
      </c>
      <c r="C7" s="197" t="s">
        <v>239</v>
      </c>
      <c r="D7" s="198">
        <v>28</v>
      </c>
      <c r="E7" s="203">
        <v>32</v>
      </c>
      <c r="F7" s="204">
        <f t="shared" si="0"/>
        <v>896</v>
      </c>
      <c r="G7" s="199">
        <v>60</v>
      </c>
      <c r="H7" s="204">
        <f t="shared" ref="H7:H9" si="1">F7/G7</f>
        <v>14.933333333333334</v>
      </c>
    </row>
    <row r="8" spans="1:10" x14ac:dyDescent="0.25">
      <c r="A8" s="273">
        <v>5</v>
      </c>
      <c r="B8" s="276" t="s">
        <v>297</v>
      </c>
      <c r="C8" s="197" t="s">
        <v>239</v>
      </c>
      <c r="D8" s="198">
        <v>56</v>
      </c>
      <c r="E8" s="203">
        <v>5</v>
      </c>
      <c r="F8" s="204">
        <f t="shared" si="0"/>
        <v>280</v>
      </c>
      <c r="G8" s="199">
        <v>12</v>
      </c>
      <c r="H8" s="204">
        <f t="shared" ref="H8" si="2">F8/G8</f>
        <v>23.333333333333332</v>
      </c>
    </row>
    <row r="9" spans="1:10" x14ac:dyDescent="0.25">
      <c r="A9" s="273">
        <v>6</v>
      </c>
      <c r="B9" s="276" t="s">
        <v>298</v>
      </c>
      <c r="C9" s="200" t="s">
        <v>239</v>
      </c>
      <c r="D9" s="201">
        <v>56</v>
      </c>
      <c r="E9" s="205">
        <v>3.5</v>
      </c>
      <c r="F9" s="204">
        <f t="shared" si="0"/>
        <v>196</v>
      </c>
      <c r="G9" s="199">
        <v>12</v>
      </c>
      <c r="H9" s="204">
        <f t="shared" si="1"/>
        <v>16.333333333333332</v>
      </c>
    </row>
    <row r="10" spans="1:10" x14ac:dyDescent="0.25">
      <c r="A10" s="273">
        <v>7</v>
      </c>
      <c r="B10" s="276" t="s">
        <v>299</v>
      </c>
      <c r="C10" s="200" t="s">
        <v>239</v>
      </c>
      <c r="D10" s="201">
        <v>12</v>
      </c>
      <c r="E10" s="205">
        <v>20</v>
      </c>
      <c r="F10" s="204">
        <f t="shared" si="0"/>
        <v>240</v>
      </c>
      <c r="G10" s="199">
        <v>60</v>
      </c>
      <c r="H10" s="204">
        <f>F10/G10</f>
        <v>4</v>
      </c>
    </row>
    <row r="11" spans="1:10" s="281" customFormat="1" ht="38.25" x14ac:dyDescent="0.25">
      <c r="A11" s="275">
        <v>8</v>
      </c>
      <c r="B11" s="276" t="s">
        <v>326</v>
      </c>
      <c r="C11" s="277" t="s">
        <v>239</v>
      </c>
      <c r="D11" s="278">
        <v>3</v>
      </c>
      <c r="E11" s="279">
        <v>299</v>
      </c>
      <c r="F11" s="280">
        <f t="shared" ref="F11" si="3">E11*D11</f>
        <v>897</v>
      </c>
      <c r="G11" s="282">
        <v>60</v>
      </c>
      <c r="H11" s="280">
        <f t="shared" ref="H11" si="4">F11/G11</f>
        <v>14.95</v>
      </c>
    </row>
    <row r="12" spans="1:10" s="281" customFormat="1" ht="38.25" x14ac:dyDescent="0.25">
      <c r="A12" s="275" t="s">
        <v>327</v>
      </c>
      <c r="B12" s="276" t="s">
        <v>328</v>
      </c>
      <c r="C12" s="277" t="s">
        <v>239</v>
      </c>
      <c r="D12" s="278">
        <v>27</v>
      </c>
      <c r="E12" s="279">
        <v>7.9</v>
      </c>
      <c r="F12" s="280">
        <f t="shared" ref="F12" si="5">E12*D12</f>
        <v>213.3</v>
      </c>
      <c r="G12" s="282">
        <v>60</v>
      </c>
      <c r="H12" s="280">
        <f t="shared" ref="H12" si="6">F12/G12</f>
        <v>3.5550000000000002</v>
      </c>
    </row>
    <row r="13" spans="1:10" ht="38.25" x14ac:dyDescent="0.25">
      <c r="A13" s="274">
        <v>9</v>
      </c>
      <c r="B13" s="196" t="s">
        <v>303</v>
      </c>
      <c r="C13" s="240" t="s">
        <v>239</v>
      </c>
      <c r="D13" s="198">
        <v>28</v>
      </c>
      <c r="E13" s="203">
        <v>150</v>
      </c>
      <c r="F13" s="204">
        <f t="shared" ref="F13" si="7">E13*D13</f>
        <v>4200</v>
      </c>
      <c r="G13" s="199">
        <v>60</v>
      </c>
      <c r="H13" s="204">
        <f t="shared" ref="H13" si="8">F13/G13</f>
        <v>70</v>
      </c>
    </row>
    <row r="14" spans="1:10" ht="12.75" customHeight="1" x14ac:dyDescent="0.25">
      <c r="A14" s="465" t="s">
        <v>199</v>
      </c>
      <c r="B14" s="465"/>
      <c r="C14" s="465"/>
      <c r="D14" s="465"/>
      <c r="E14" s="465"/>
      <c r="F14" s="465"/>
      <c r="G14" s="465"/>
      <c r="H14" s="206">
        <f>SUM(H4:H13)</f>
        <v>181.405</v>
      </c>
      <c r="J14" s="202"/>
    </row>
    <row r="15" spans="1:10" ht="15" customHeight="1" x14ac:dyDescent="0.25">
      <c r="A15" s="465" t="s">
        <v>242</v>
      </c>
      <c r="B15" s="465"/>
      <c r="C15" s="465"/>
      <c r="D15" s="465"/>
      <c r="E15" s="465"/>
      <c r="F15" s="465"/>
      <c r="G15" s="465"/>
      <c r="H15" s="242">
        <v>56</v>
      </c>
    </row>
    <row r="16" spans="1:10" ht="18.75" customHeight="1" x14ac:dyDescent="0.25">
      <c r="A16" s="465" t="s">
        <v>240</v>
      </c>
      <c r="B16" s="465"/>
      <c r="C16" s="465"/>
      <c r="D16" s="465"/>
      <c r="E16" s="465"/>
      <c r="F16" s="465"/>
      <c r="G16" s="465"/>
      <c r="H16" s="207">
        <f>H14/H15</f>
        <v>3.2393749999999999</v>
      </c>
    </row>
    <row r="18" spans="1:10" ht="12.75" customHeight="1" x14ac:dyDescent="0.25">
      <c r="B18" s="459" t="s">
        <v>241</v>
      </c>
      <c r="C18" s="460"/>
      <c r="D18" s="460"/>
      <c r="E18" s="460"/>
      <c r="F18" s="460"/>
      <c r="G18" s="460"/>
      <c r="H18" s="461"/>
    </row>
    <row r="19" spans="1:10" ht="20.85" customHeight="1" x14ac:dyDescent="0.25">
      <c r="A19" s="193" t="s">
        <v>70</v>
      </c>
      <c r="B19" s="193" t="s">
        <v>232</v>
      </c>
      <c r="C19" s="194" t="s">
        <v>233</v>
      </c>
      <c r="D19" s="194" t="s">
        <v>234</v>
      </c>
      <c r="E19" s="195" t="s">
        <v>235</v>
      </c>
      <c r="F19" s="195" t="s">
        <v>236</v>
      </c>
      <c r="G19" s="194" t="s">
        <v>237</v>
      </c>
      <c r="H19" s="195" t="s">
        <v>238</v>
      </c>
    </row>
    <row r="20" spans="1:10" ht="18" customHeight="1" x14ac:dyDescent="0.25">
      <c r="A20" s="274">
        <v>1</v>
      </c>
      <c r="B20" s="276" t="s">
        <v>302</v>
      </c>
      <c r="C20" s="240" t="s">
        <v>239</v>
      </c>
      <c r="D20" s="198">
        <v>15</v>
      </c>
      <c r="E20" s="203">
        <v>1500</v>
      </c>
      <c r="F20" s="204">
        <f t="shared" ref="F20:F21" si="9">E20*D20</f>
        <v>22500</v>
      </c>
      <c r="G20" s="199">
        <v>120</v>
      </c>
      <c r="H20" s="204">
        <f>F20/G20</f>
        <v>187.5</v>
      </c>
    </row>
    <row r="21" spans="1:10" s="281" customFormat="1" x14ac:dyDescent="0.25">
      <c r="A21" s="275">
        <v>2</v>
      </c>
      <c r="B21" s="276" t="s">
        <v>324</v>
      </c>
      <c r="C21" s="277" t="s">
        <v>239</v>
      </c>
      <c r="D21" s="278">
        <v>15</v>
      </c>
      <c r="E21" s="279">
        <v>500</v>
      </c>
      <c r="F21" s="280">
        <f t="shared" si="9"/>
        <v>7500</v>
      </c>
      <c r="G21" s="282">
        <v>60</v>
      </c>
      <c r="H21" s="280">
        <f t="shared" ref="H21" si="10">F21/G21</f>
        <v>125</v>
      </c>
    </row>
    <row r="22" spans="1:10" ht="12.75" customHeight="1" x14ac:dyDescent="0.25">
      <c r="A22" s="465" t="s">
        <v>199</v>
      </c>
      <c r="B22" s="465"/>
      <c r="C22" s="465"/>
      <c r="D22" s="465"/>
      <c r="E22" s="465"/>
      <c r="F22" s="465"/>
      <c r="G22" s="465"/>
      <c r="H22" s="206">
        <f>SUM(H20:H21)</f>
        <v>312.5</v>
      </c>
      <c r="J22" s="202"/>
    </row>
    <row r="23" spans="1:10" ht="15" customHeight="1" x14ac:dyDescent="0.25">
      <c r="A23" s="465" t="s">
        <v>242</v>
      </c>
      <c r="B23" s="465"/>
      <c r="C23" s="465"/>
      <c r="D23" s="465"/>
      <c r="E23" s="465"/>
      <c r="F23" s="465"/>
      <c r="G23" s="465"/>
      <c r="H23" s="242">
        <v>30</v>
      </c>
    </row>
    <row r="24" spans="1:10" ht="18.75" customHeight="1" x14ac:dyDescent="0.25">
      <c r="A24" s="465" t="s">
        <v>240</v>
      </c>
      <c r="B24" s="465"/>
      <c r="C24" s="465"/>
      <c r="D24" s="465"/>
      <c r="E24" s="465"/>
      <c r="F24" s="465"/>
      <c r="G24" s="465"/>
      <c r="H24" s="207">
        <f>H22/H23</f>
        <v>10.416666666666666</v>
      </c>
    </row>
  </sheetData>
  <mergeCells count="9">
    <mergeCell ref="B18:H18"/>
    <mergeCell ref="A22:G22"/>
    <mergeCell ref="A23:G23"/>
    <mergeCell ref="A24:G24"/>
    <mergeCell ref="B1:I1"/>
    <mergeCell ref="B2:H2"/>
    <mergeCell ref="A14:G14"/>
    <mergeCell ref="A15:G15"/>
    <mergeCell ref="A16:G16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I30"/>
  <sheetViews>
    <sheetView topLeftCell="A21" zoomScale="172" zoomScaleNormal="172" workbookViewId="0">
      <selection activeCell="I30" sqref="I30"/>
    </sheetView>
  </sheetViews>
  <sheetFormatPr defaultRowHeight="12.75" x14ac:dyDescent="0.25"/>
  <cols>
    <col min="1" max="1" width="20.42578125" style="188" customWidth="1"/>
    <col min="2" max="2" width="22.5703125" style="188" customWidth="1"/>
    <col min="3" max="4" width="5" style="188" customWidth="1"/>
    <col min="5" max="5" width="7.42578125" style="188" customWidth="1"/>
    <col min="6" max="6" width="2.85546875" style="188" customWidth="1"/>
    <col min="7" max="7" width="5.7109375" style="188" customWidth="1"/>
    <col min="8" max="8" width="3.5703125" style="188" customWidth="1"/>
    <col min="9" max="9" width="6.28515625" style="188" customWidth="1"/>
    <col min="10" max="10" width="16.140625" style="188" customWidth="1"/>
    <col min="11" max="16384" width="9.140625" style="188"/>
  </cols>
  <sheetData>
    <row r="1" spans="1:9" x14ac:dyDescent="0.25">
      <c r="A1" s="470" t="s">
        <v>322</v>
      </c>
      <c r="B1" s="470"/>
      <c r="C1" s="470"/>
      <c r="D1" s="470"/>
      <c r="E1" s="470"/>
      <c r="F1" s="470"/>
      <c r="G1" s="470"/>
      <c r="H1" s="470"/>
      <c r="I1" s="470"/>
    </row>
    <row r="2" spans="1:9" ht="16.350000000000001" customHeight="1" x14ac:dyDescent="0.25">
      <c r="A2" s="185" t="s">
        <v>221</v>
      </c>
      <c r="B2" s="186" t="s">
        <v>222</v>
      </c>
      <c r="C2" s="187" t="s">
        <v>223</v>
      </c>
      <c r="D2" s="187"/>
      <c r="E2" s="187" t="s">
        <v>224</v>
      </c>
      <c r="F2" s="471" t="s">
        <v>225</v>
      </c>
      <c r="G2" s="472"/>
      <c r="H2" s="471" t="s">
        <v>226</v>
      </c>
      <c r="I2" s="472"/>
    </row>
    <row r="3" spans="1:9" ht="16.350000000000001" customHeight="1" x14ac:dyDescent="0.25">
      <c r="A3" s="473" t="s">
        <v>243</v>
      </c>
      <c r="B3" s="236" t="s">
        <v>281</v>
      </c>
      <c r="C3" s="189" t="s">
        <v>227</v>
      </c>
      <c r="D3" s="189" t="s">
        <v>291</v>
      </c>
      <c r="E3" s="237">
        <v>2</v>
      </c>
      <c r="F3" s="238" t="s">
        <v>228</v>
      </c>
      <c r="G3" s="239">
        <v>50</v>
      </c>
      <c r="H3" s="238" t="s">
        <v>228</v>
      </c>
      <c r="I3" s="239">
        <f>G3*E3</f>
        <v>100</v>
      </c>
    </row>
    <row r="4" spans="1:9" ht="16.5" customHeight="1" x14ac:dyDescent="0.25">
      <c r="A4" s="474"/>
      <c r="B4" s="236" t="s">
        <v>282</v>
      </c>
      <c r="C4" s="189" t="s">
        <v>227</v>
      </c>
      <c r="D4" s="189" t="s">
        <v>291</v>
      </c>
      <c r="E4" s="237">
        <v>2</v>
      </c>
      <c r="F4" s="238" t="s">
        <v>228</v>
      </c>
      <c r="G4" s="239">
        <v>40</v>
      </c>
      <c r="H4" s="238" t="s">
        <v>228</v>
      </c>
      <c r="I4" s="239">
        <f t="shared" ref="I4:I11" si="0">G4*E4</f>
        <v>80</v>
      </c>
    </row>
    <row r="5" spans="1:9" ht="16.5" customHeight="1" x14ac:dyDescent="0.25">
      <c r="A5" s="474"/>
      <c r="B5" s="189" t="s">
        <v>283</v>
      </c>
      <c r="C5" s="189" t="s">
        <v>227</v>
      </c>
      <c r="D5" s="189" t="s">
        <v>291</v>
      </c>
      <c r="E5" s="237">
        <v>2</v>
      </c>
      <c r="F5" s="238" t="s">
        <v>228</v>
      </c>
      <c r="G5" s="239">
        <v>40</v>
      </c>
      <c r="H5" s="238" t="s">
        <v>228</v>
      </c>
      <c r="I5" s="239">
        <f t="shared" si="0"/>
        <v>80</v>
      </c>
    </row>
    <row r="6" spans="1:9" ht="16.5" customHeight="1" x14ac:dyDescent="0.25">
      <c r="A6" s="474"/>
      <c r="B6" s="189" t="s">
        <v>284</v>
      </c>
      <c r="C6" s="189" t="s">
        <v>227</v>
      </c>
      <c r="D6" s="189" t="s">
        <v>291</v>
      </c>
      <c r="E6" s="237">
        <v>2</v>
      </c>
      <c r="F6" s="238" t="s">
        <v>228</v>
      </c>
      <c r="G6" s="239">
        <v>3.5</v>
      </c>
      <c r="H6" s="238" t="s">
        <v>228</v>
      </c>
      <c r="I6" s="239">
        <f t="shared" si="0"/>
        <v>7</v>
      </c>
    </row>
    <row r="7" spans="1:9" ht="16.5" customHeight="1" x14ac:dyDescent="0.25">
      <c r="A7" s="474"/>
      <c r="B7" s="189" t="s">
        <v>285</v>
      </c>
      <c r="C7" s="189" t="s">
        <v>227</v>
      </c>
      <c r="D7" s="189" t="s">
        <v>291</v>
      </c>
      <c r="E7" s="237">
        <v>2</v>
      </c>
      <c r="F7" s="238" t="s">
        <v>228</v>
      </c>
      <c r="G7" s="239">
        <v>10</v>
      </c>
      <c r="H7" s="238" t="s">
        <v>228</v>
      </c>
      <c r="I7" s="239">
        <f t="shared" si="0"/>
        <v>20</v>
      </c>
    </row>
    <row r="8" spans="1:9" ht="16.5" customHeight="1" x14ac:dyDescent="0.25">
      <c r="A8" s="474"/>
      <c r="B8" s="189" t="s">
        <v>286</v>
      </c>
      <c r="C8" s="189" t="s">
        <v>227</v>
      </c>
      <c r="D8" s="189" t="s">
        <v>292</v>
      </c>
      <c r="E8" s="237">
        <v>1</v>
      </c>
      <c r="F8" s="238" t="s">
        <v>228</v>
      </c>
      <c r="G8" s="239">
        <v>10</v>
      </c>
      <c r="H8" s="238" t="s">
        <v>228</v>
      </c>
      <c r="I8" s="239">
        <f t="shared" si="0"/>
        <v>10</v>
      </c>
    </row>
    <row r="9" spans="1:9" ht="16.5" customHeight="1" x14ac:dyDescent="0.25">
      <c r="A9" s="474"/>
      <c r="B9" s="189" t="s">
        <v>287</v>
      </c>
      <c r="C9" s="189" t="s">
        <v>227</v>
      </c>
      <c r="D9" s="189" t="s">
        <v>292</v>
      </c>
      <c r="E9" s="237">
        <v>1</v>
      </c>
      <c r="F9" s="238" t="s">
        <v>228</v>
      </c>
      <c r="G9" s="239">
        <v>2.5</v>
      </c>
      <c r="H9" s="238" t="s">
        <v>228</v>
      </c>
      <c r="I9" s="239">
        <f t="shared" si="0"/>
        <v>2.5</v>
      </c>
    </row>
    <row r="10" spans="1:9" ht="16.5" customHeight="1" x14ac:dyDescent="0.25">
      <c r="A10" s="474"/>
      <c r="B10" s="189" t="s">
        <v>288</v>
      </c>
      <c r="C10" s="189" t="s">
        <v>227</v>
      </c>
      <c r="D10" s="189" t="s">
        <v>292</v>
      </c>
      <c r="E10" s="237">
        <v>1</v>
      </c>
      <c r="F10" s="238" t="s">
        <v>228</v>
      </c>
      <c r="G10" s="239">
        <v>25</v>
      </c>
      <c r="H10" s="238" t="s">
        <v>228</v>
      </c>
      <c r="I10" s="239">
        <f t="shared" si="0"/>
        <v>25</v>
      </c>
    </row>
    <row r="11" spans="1:9" ht="16.5" customHeight="1" x14ac:dyDescent="0.25">
      <c r="A11" s="474"/>
      <c r="B11" s="189" t="s">
        <v>289</v>
      </c>
      <c r="C11" s="189" t="s">
        <v>227</v>
      </c>
      <c r="D11" s="189" t="s">
        <v>292</v>
      </c>
      <c r="E11" s="237">
        <v>1</v>
      </c>
      <c r="F11" s="238" t="s">
        <v>228</v>
      </c>
      <c r="G11" s="239">
        <v>40</v>
      </c>
      <c r="H11" s="238" t="s">
        <v>228</v>
      </c>
      <c r="I11" s="239">
        <f t="shared" si="0"/>
        <v>40</v>
      </c>
    </row>
    <row r="12" spans="1:9" ht="16.5" customHeight="1" x14ac:dyDescent="0.25">
      <c r="A12" s="474"/>
      <c r="B12" s="189" t="s">
        <v>244</v>
      </c>
      <c r="C12" s="189" t="s">
        <v>227</v>
      </c>
      <c r="D12" s="189" t="s">
        <v>292</v>
      </c>
      <c r="E12" s="237">
        <v>1</v>
      </c>
      <c r="F12" s="238" t="s">
        <v>228</v>
      </c>
      <c r="G12" s="239">
        <v>15</v>
      </c>
      <c r="H12" s="238" t="s">
        <v>228</v>
      </c>
      <c r="I12" s="239">
        <f t="shared" ref="I12" si="1">G12*E12</f>
        <v>15</v>
      </c>
    </row>
    <row r="13" spans="1:9" ht="8.25" customHeight="1" x14ac:dyDescent="0.25">
      <c r="A13" s="466" t="s">
        <v>229</v>
      </c>
      <c r="B13" s="467"/>
      <c r="C13" s="467"/>
      <c r="D13" s="467"/>
      <c r="E13" s="467"/>
      <c r="F13" s="467"/>
      <c r="G13" s="468"/>
      <c r="H13" s="190" t="s">
        <v>230</v>
      </c>
      <c r="I13" s="191">
        <f>SUM(I3:I12)</f>
        <v>379.5</v>
      </c>
    </row>
    <row r="14" spans="1:9" ht="8.25" customHeight="1" x14ac:dyDescent="0.25">
      <c r="A14" s="469" t="s">
        <v>245</v>
      </c>
      <c r="B14" s="467"/>
      <c r="C14" s="467"/>
      <c r="D14" s="467"/>
      <c r="E14" s="467"/>
      <c r="F14" s="467"/>
      <c r="G14" s="468"/>
      <c r="H14" s="190" t="s">
        <v>230</v>
      </c>
      <c r="I14" s="191">
        <f>I13/12</f>
        <v>31.625</v>
      </c>
    </row>
    <row r="16" spans="1:9" x14ac:dyDescent="0.25">
      <c r="A16" s="470" t="s">
        <v>323</v>
      </c>
      <c r="B16" s="470"/>
      <c r="C16" s="470"/>
      <c r="D16" s="470"/>
      <c r="E16" s="470"/>
      <c r="F16" s="470"/>
      <c r="G16" s="470"/>
      <c r="H16" s="470"/>
      <c r="I16" s="470"/>
    </row>
    <row r="17" spans="1:9" ht="16.350000000000001" customHeight="1" x14ac:dyDescent="0.25">
      <c r="A17" s="185" t="s">
        <v>221</v>
      </c>
      <c r="B17" s="186" t="s">
        <v>222</v>
      </c>
      <c r="C17" s="187" t="s">
        <v>223</v>
      </c>
      <c r="D17" s="187"/>
      <c r="E17" s="187" t="s">
        <v>224</v>
      </c>
      <c r="F17" s="471" t="s">
        <v>225</v>
      </c>
      <c r="G17" s="472"/>
      <c r="H17" s="471" t="s">
        <v>226</v>
      </c>
      <c r="I17" s="472"/>
    </row>
    <row r="18" spans="1:9" ht="16.350000000000001" customHeight="1" x14ac:dyDescent="0.25">
      <c r="A18" s="473" t="s">
        <v>243</v>
      </c>
      <c r="B18" s="236" t="s">
        <v>281</v>
      </c>
      <c r="C18" s="189" t="s">
        <v>227</v>
      </c>
      <c r="D18" s="189" t="s">
        <v>291</v>
      </c>
      <c r="E18" s="237">
        <v>2</v>
      </c>
      <c r="F18" s="238" t="s">
        <v>228</v>
      </c>
      <c r="G18" s="239">
        <v>50</v>
      </c>
      <c r="H18" s="238" t="s">
        <v>228</v>
      </c>
      <c r="I18" s="239">
        <f>G18*E18</f>
        <v>100</v>
      </c>
    </row>
    <row r="19" spans="1:9" ht="16.5" customHeight="1" x14ac:dyDescent="0.25">
      <c r="A19" s="474"/>
      <c r="B19" s="236" t="s">
        <v>282</v>
      </c>
      <c r="C19" s="189" t="s">
        <v>227</v>
      </c>
      <c r="D19" s="189" t="s">
        <v>291</v>
      </c>
      <c r="E19" s="237">
        <v>2</v>
      </c>
      <c r="F19" s="238" t="s">
        <v>228</v>
      </c>
      <c r="G19" s="239">
        <v>40</v>
      </c>
      <c r="H19" s="238" t="s">
        <v>228</v>
      </c>
      <c r="I19" s="239">
        <f t="shared" ref="I19:I28" si="2">G19*E19</f>
        <v>80</v>
      </c>
    </row>
    <row r="20" spans="1:9" ht="16.5" customHeight="1" x14ac:dyDescent="0.25">
      <c r="A20" s="474"/>
      <c r="B20" s="189" t="s">
        <v>283</v>
      </c>
      <c r="C20" s="189" t="s">
        <v>227</v>
      </c>
      <c r="D20" s="189" t="s">
        <v>291</v>
      </c>
      <c r="E20" s="237">
        <v>2</v>
      </c>
      <c r="F20" s="238" t="s">
        <v>228</v>
      </c>
      <c r="G20" s="239">
        <v>40</v>
      </c>
      <c r="H20" s="238" t="s">
        <v>228</v>
      </c>
      <c r="I20" s="239">
        <f t="shared" si="2"/>
        <v>80</v>
      </c>
    </row>
    <row r="21" spans="1:9" ht="16.5" customHeight="1" x14ac:dyDescent="0.25">
      <c r="A21" s="474"/>
      <c r="B21" s="189" t="s">
        <v>284</v>
      </c>
      <c r="C21" s="189" t="s">
        <v>227</v>
      </c>
      <c r="D21" s="189" t="s">
        <v>291</v>
      </c>
      <c r="E21" s="237">
        <v>2</v>
      </c>
      <c r="F21" s="238" t="s">
        <v>228</v>
      </c>
      <c r="G21" s="239">
        <v>3.5</v>
      </c>
      <c r="H21" s="238" t="s">
        <v>228</v>
      </c>
      <c r="I21" s="239">
        <f t="shared" si="2"/>
        <v>7</v>
      </c>
    </row>
    <row r="22" spans="1:9" ht="16.5" customHeight="1" x14ac:dyDescent="0.25">
      <c r="A22" s="474"/>
      <c r="B22" s="189" t="s">
        <v>285</v>
      </c>
      <c r="C22" s="189" t="s">
        <v>227</v>
      </c>
      <c r="D22" s="189" t="s">
        <v>291</v>
      </c>
      <c r="E22" s="237">
        <v>2</v>
      </c>
      <c r="F22" s="238" t="s">
        <v>228</v>
      </c>
      <c r="G22" s="239">
        <v>10</v>
      </c>
      <c r="H22" s="238" t="s">
        <v>228</v>
      </c>
      <c r="I22" s="239">
        <f t="shared" si="2"/>
        <v>20</v>
      </c>
    </row>
    <row r="23" spans="1:9" ht="16.5" customHeight="1" x14ac:dyDescent="0.25">
      <c r="A23" s="474"/>
      <c r="B23" s="189" t="s">
        <v>286</v>
      </c>
      <c r="C23" s="189" t="s">
        <v>227</v>
      </c>
      <c r="D23" s="189" t="s">
        <v>292</v>
      </c>
      <c r="E23" s="237">
        <v>1</v>
      </c>
      <c r="F23" s="238" t="s">
        <v>228</v>
      </c>
      <c r="G23" s="239">
        <v>10</v>
      </c>
      <c r="H23" s="238" t="s">
        <v>228</v>
      </c>
      <c r="I23" s="239">
        <f t="shared" si="2"/>
        <v>10</v>
      </c>
    </row>
    <row r="24" spans="1:9" ht="16.5" customHeight="1" x14ac:dyDescent="0.25">
      <c r="A24" s="474"/>
      <c r="B24" s="189" t="s">
        <v>287</v>
      </c>
      <c r="C24" s="189" t="s">
        <v>227</v>
      </c>
      <c r="D24" s="189" t="s">
        <v>292</v>
      </c>
      <c r="E24" s="237">
        <v>1</v>
      </c>
      <c r="F24" s="238" t="s">
        <v>228</v>
      </c>
      <c r="G24" s="239">
        <v>2.5</v>
      </c>
      <c r="H24" s="238" t="s">
        <v>228</v>
      </c>
      <c r="I24" s="239">
        <f t="shared" si="2"/>
        <v>2.5</v>
      </c>
    </row>
    <row r="25" spans="1:9" ht="16.5" customHeight="1" x14ac:dyDescent="0.25">
      <c r="A25" s="474"/>
      <c r="B25" s="189" t="s">
        <v>288</v>
      </c>
      <c r="C25" s="189" t="s">
        <v>227</v>
      </c>
      <c r="D25" s="189" t="s">
        <v>292</v>
      </c>
      <c r="E25" s="237">
        <v>1</v>
      </c>
      <c r="F25" s="238" t="s">
        <v>228</v>
      </c>
      <c r="G25" s="239">
        <v>25</v>
      </c>
      <c r="H25" s="238" t="s">
        <v>228</v>
      </c>
      <c r="I25" s="239">
        <f t="shared" si="2"/>
        <v>25</v>
      </c>
    </row>
    <row r="26" spans="1:9" ht="16.5" customHeight="1" x14ac:dyDescent="0.25">
      <c r="A26" s="474"/>
      <c r="B26" s="189" t="s">
        <v>289</v>
      </c>
      <c r="C26" s="189" t="s">
        <v>227</v>
      </c>
      <c r="D26" s="189" t="s">
        <v>292</v>
      </c>
      <c r="E26" s="237">
        <v>1</v>
      </c>
      <c r="F26" s="238" t="s">
        <v>228</v>
      </c>
      <c r="G26" s="239">
        <v>40</v>
      </c>
      <c r="H26" s="238" t="s">
        <v>228</v>
      </c>
      <c r="I26" s="239">
        <f t="shared" si="2"/>
        <v>40</v>
      </c>
    </row>
    <row r="27" spans="1:9" ht="16.5" customHeight="1" x14ac:dyDescent="0.25">
      <c r="A27" s="474"/>
      <c r="B27" s="189" t="s">
        <v>244</v>
      </c>
      <c r="C27" s="189" t="s">
        <v>227</v>
      </c>
      <c r="D27" s="189" t="s">
        <v>292</v>
      </c>
      <c r="E27" s="237">
        <v>1</v>
      </c>
      <c r="F27" s="238" t="s">
        <v>228</v>
      </c>
      <c r="G27" s="239">
        <v>15</v>
      </c>
      <c r="H27" s="238" t="s">
        <v>228</v>
      </c>
      <c r="I27" s="239">
        <f t="shared" si="2"/>
        <v>15</v>
      </c>
    </row>
    <row r="28" spans="1:9" ht="16.5" customHeight="1" x14ac:dyDescent="0.25">
      <c r="A28" s="474"/>
      <c r="B28" s="189" t="s">
        <v>290</v>
      </c>
      <c r="C28" s="189" t="s">
        <v>227</v>
      </c>
      <c r="D28" s="189" t="s">
        <v>292</v>
      </c>
      <c r="E28" s="237">
        <v>1</v>
      </c>
      <c r="F28" s="238" t="s">
        <v>228</v>
      </c>
      <c r="G28" s="239">
        <v>15</v>
      </c>
      <c r="H28" s="238" t="s">
        <v>228</v>
      </c>
      <c r="I28" s="239">
        <f t="shared" si="2"/>
        <v>15</v>
      </c>
    </row>
    <row r="29" spans="1:9" ht="8.25" customHeight="1" x14ac:dyDescent="0.25">
      <c r="A29" s="466" t="s">
        <v>229</v>
      </c>
      <c r="B29" s="467"/>
      <c r="C29" s="467"/>
      <c r="D29" s="467"/>
      <c r="E29" s="467"/>
      <c r="F29" s="467"/>
      <c r="G29" s="468"/>
      <c r="H29" s="190" t="s">
        <v>230</v>
      </c>
      <c r="I29" s="191">
        <f>SUM(I18:I28)</f>
        <v>394.5</v>
      </c>
    </row>
    <row r="30" spans="1:9" ht="8.25" customHeight="1" x14ac:dyDescent="0.25">
      <c r="A30" s="469" t="s">
        <v>245</v>
      </c>
      <c r="B30" s="467"/>
      <c r="C30" s="467"/>
      <c r="D30" s="467"/>
      <c r="E30" s="467"/>
      <c r="F30" s="467"/>
      <c r="G30" s="468"/>
      <c r="H30" s="190" t="s">
        <v>230</v>
      </c>
      <c r="I30" s="191">
        <f>I29/12</f>
        <v>32.875</v>
      </c>
    </row>
  </sheetData>
  <mergeCells count="12">
    <mergeCell ref="A29:G29"/>
    <mergeCell ref="A30:G30"/>
    <mergeCell ref="A1:I1"/>
    <mergeCell ref="A16:I16"/>
    <mergeCell ref="F17:G17"/>
    <mergeCell ref="H17:I17"/>
    <mergeCell ref="A18:A28"/>
    <mergeCell ref="A14:G14"/>
    <mergeCell ref="F2:G2"/>
    <mergeCell ref="H2:I2"/>
    <mergeCell ref="A3:A12"/>
    <mergeCell ref="A13:G1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7"/>
  <sheetViews>
    <sheetView zoomScaleNormal="100" workbookViewId="0">
      <selection activeCell="F16" sqref="F16"/>
    </sheetView>
  </sheetViews>
  <sheetFormatPr defaultRowHeight="15" x14ac:dyDescent="0.25"/>
  <cols>
    <col min="1" max="1" width="7" bestFit="1" customWidth="1"/>
    <col min="2" max="2" width="62.5703125" customWidth="1"/>
    <col min="3" max="3" width="9.42578125" bestFit="1" customWidth="1"/>
    <col min="4" max="4" width="16.7109375" bestFit="1" customWidth="1"/>
    <col min="5" max="6" width="19.42578125" customWidth="1"/>
    <col min="8" max="8" width="25.7109375" bestFit="1" customWidth="1"/>
    <col min="9" max="9" width="12.5703125" bestFit="1" customWidth="1"/>
    <col min="258" max="258" width="7" bestFit="1" customWidth="1"/>
    <col min="259" max="259" width="44" bestFit="1" customWidth="1"/>
    <col min="260" max="260" width="9.42578125" bestFit="1" customWidth="1"/>
    <col min="261" max="261" width="13.7109375" bestFit="1" customWidth="1"/>
    <col min="262" max="262" width="16.85546875" bestFit="1" customWidth="1"/>
    <col min="264" max="264" width="25.7109375" bestFit="1" customWidth="1"/>
    <col min="265" max="265" width="12.5703125" bestFit="1" customWidth="1"/>
    <col min="514" max="514" width="7" bestFit="1" customWidth="1"/>
    <col min="515" max="515" width="44" bestFit="1" customWidth="1"/>
    <col min="516" max="516" width="9.42578125" bestFit="1" customWidth="1"/>
    <col min="517" max="517" width="13.7109375" bestFit="1" customWidth="1"/>
    <col min="518" max="518" width="16.85546875" bestFit="1" customWidth="1"/>
    <col min="520" max="520" width="25.7109375" bestFit="1" customWidth="1"/>
    <col min="521" max="521" width="12.5703125" bestFit="1" customWidth="1"/>
    <col min="770" max="770" width="7" bestFit="1" customWidth="1"/>
    <col min="771" max="771" width="44" bestFit="1" customWidth="1"/>
    <col min="772" max="772" width="9.42578125" bestFit="1" customWidth="1"/>
    <col min="773" max="773" width="13.7109375" bestFit="1" customWidth="1"/>
    <col min="774" max="774" width="16.85546875" bestFit="1" customWidth="1"/>
    <col min="776" max="776" width="25.7109375" bestFit="1" customWidth="1"/>
    <col min="777" max="777" width="12.5703125" bestFit="1" customWidth="1"/>
    <col min="1026" max="1026" width="7" bestFit="1" customWidth="1"/>
    <col min="1027" max="1027" width="44" bestFit="1" customWidth="1"/>
    <col min="1028" max="1028" width="9.42578125" bestFit="1" customWidth="1"/>
    <col min="1029" max="1029" width="13.7109375" bestFit="1" customWidth="1"/>
    <col min="1030" max="1030" width="16.85546875" bestFit="1" customWidth="1"/>
    <col min="1032" max="1032" width="25.7109375" bestFit="1" customWidth="1"/>
    <col min="1033" max="1033" width="12.5703125" bestFit="1" customWidth="1"/>
    <col min="1282" max="1282" width="7" bestFit="1" customWidth="1"/>
    <col min="1283" max="1283" width="44" bestFit="1" customWidth="1"/>
    <col min="1284" max="1284" width="9.42578125" bestFit="1" customWidth="1"/>
    <col min="1285" max="1285" width="13.7109375" bestFit="1" customWidth="1"/>
    <col min="1286" max="1286" width="16.85546875" bestFit="1" customWidth="1"/>
    <col min="1288" max="1288" width="25.7109375" bestFit="1" customWidth="1"/>
    <col min="1289" max="1289" width="12.5703125" bestFit="1" customWidth="1"/>
    <col min="1538" max="1538" width="7" bestFit="1" customWidth="1"/>
    <col min="1539" max="1539" width="44" bestFit="1" customWidth="1"/>
    <col min="1540" max="1540" width="9.42578125" bestFit="1" customWidth="1"/>
    <col min="1541" max="1541" width="13.7109375" bestFit="1" customWidth="1"/>
    <col min="1542" max="1542" width="16.85546875" bestFit="1" customWidth="1"/>
    <col min="1544" max="1544" width="25.7109375" bestFit="1" customWidth="1"/>
    <col min="1545" max="1545" width="12.5703125" bestFit="1" customWidth="1"/>
    <col min="1794" max="1794" width="7" bestFit="1" customWidth="1"/>
    <col min="1795" max="1795" width="44" bestFit="1" customWidth="1"/>
    <col min="1796" max="1796" width="9.42578125" bestFit="1" customWidth="1"/>
    <col min="1797" max="1797" width="13.7109375" bestFit="1" customWidth="1"/>
    <col min="1798" max="1798" width="16.85546875" bestFit="1" customWidth="1"/>
    <col min="1800" max="1800" width="25.7109375" bestFit="1" customWidth="1"/>
    <col min="1801" max="1801" width="12.5703125" bestFit="1" customWidth="1"/>
    <col min="2050" max="2050" width="7" bestFit="1" customWidth="1"/>
    <col min="2051" max="2051" width="44" bestFit="1" customWidth="1"/>
    <col min="2052" max="2052" width="9.42578125" bestFit="1" customWidth="1"/>
    <col min="2053" max="2053" width="13.7109375" bestFit="1" customWidth="1"/>
    <col min="2054" max="2054" width="16.85546875" bestFit="1" customWidth="1"/>
    <col min="2056" max="2056" width="25.7109375" bestFit="1" customWidth="1"/>
    <col min="2057" max="2057" width="12.5703125" bestFit="1" customWidth="1"/>
    <col min="2306" max="2306" width="7" bestFit="1" customWidth="1"/>
    <col min="2307" max="2307" width="44" bestFit="1" customWidth="1"/>
    <col min="2308" max="2308" width="9.42578125" bestFit="1" customWidth="1"/>
    <col min="2309" max="2309" width="13.7109375" bestFit="1" customWidth="1"/>
    <col min="2310" max="2310" width="16.85546875" bestFit="1" customWidth="1"/>
    <col min="2312" max="2312" width="25.7109375" bestFit="1" customWidth="1"/>
    <col min="2313" max="2313" width="12.5703125" bestFit="1" customWidth="1"/>
    <col min="2562" max="2562" width="7" bestFit="1" customWidth="1"/>
    <col min="2563" max="2563" width="44" bestFit="1" customWidth="1"/>
    <col min="2564" max="2564" width="9.42578125" bestFit="1" customWidth="1"/>
    <col min="2565" max="2565" width="13.7109375" bestFit="1" customWidth="1"/>
    <col min="2566" max="2566" width="16.85546875" bestFit="1" customWidth="1"/>
    <col min="2568" max="2568" width="25.7109375" bestFit="1" customWidth="1"/>
    <col min="2569" max="2569" width="12.5703125" bestFit="1" customWidth="1"/>
    <col min="2818" max="2818" width="7" bestFit="1" customWidth="1"/>
    <col min="2819" max="2819" width="44" bestFit="1" customWidth="1"/>
    <col min="2820" max="2820" width="9.42578125" bestFit="1" customWidth="1"/>
    <col min="2821" max="2821" width="13.7109375" bestFit="1" customWidth="1"/>
    <col min="2822" max="2822" width="16.85546875" bestFit="1" customWidth="1"/>
    <col min="2824" max="2824" width="25.7109375" bestFit="1" customWidth="1"/>
    <col min="2825" max="2825" width="12.5703125" bestFit="1" customWidth="1"/>
    <col min="3074" max="3074" width="7" bestFit="1" customWidth="1"/>
    <col min="3075" max="3075" width="44" bestFit="1" customWidth="1"/>
    <col min="3076" max="3076" width="9.42578125" bestFit="1" customWidth="1"/>
    <col min="3077" max="3077" width="13.7109375" bestFit="1" customWidth="1"/>
    <col min="3078" max="3078" width="16.85546875" bestFit="1" customWidth="1"/>
    <col min="3080" max="3080" width="25.7109375" bestFit="1" customWidth="1"/>
    <col min="3081" max="3081" width="12.5703125" bestFit="1" customWidth="1"/>
    <col min="3330" max="3330" width="7" bestFit="1" customWidth="1"/>
    <col min="3331" max="3331" width="44" bestFit="1" customWidth="1"/>
    <col min="3332" max="3332" width="9.42578125" bestFit="1" customWidth="1"/>
    <col min="3333" max="3333" width="13.7109375" bestFit="1" customWidth="1"/>
    <col min="3334" max="3334" width="16.85546875" bestFit="1" customWidth="1"/>
    <col min="3336" max="3336" width="25.7109375" bestFit="1" customWidth="1"/>
    <col min="3337" max="3337" width="12.5703125" bestFit="1" customWidth="1"/>
    <col min="3586" max="3586" width="7" bestFit="1" customWidth="1"/>
    <col min="3587" max="3587" width="44" bestFit="1" customWidth="1"/>
    <col min="3588" max="3588" width="9.42578125" bestFit="1" customWidth="1"/>
    <col min="3589" max="3589" width="13.7109375" bestFit="1" customWidth="1"/>
    <col min="3590" max="3590" width="16.85546875" bestFit="1" customWidth="1"/>
    <col min="3592" max="3592" width="25.7109375" bestFit="1" customWidth="1"/>
    <col min="3593" max="3593" width="12.5703125" bestFit="1" customWidth="1"/>
    <col min="3842" max="3842" width="7" bestFit="1" customWidth="1"/>
    <col min="3843" max="3843" width="44" bestFit="1" customWidth="1"/>
    <col min="3844" max="3844" width="9.42578125" bestFit="1" customWidth="1"/>
    <col min="3845" max="3845" width="13.7109375" bestFit="1" customWidth="1"/>
    <col min="3846" max="3846" width="16.85546875" bestFit="1" customWidth="1"/>
    <col min="3848" max="3848" width="25.7109375" bestFit="1" customWidth="1"/>
    <col min="3849" max="3849" width="12.5703125" bestFit="1" customWidth="1"/>
    <col min="4098" max="4098" width="7" bestFit="1" customWidth="1"/>
    <col min="4099" max="4099" width="44" bestFit="1" customWidth="1"/>
    <col min="4100" max="4100" width="9.42578125" bestFit="1" customWidth="1"/>
    <col min="4101" max="4101" width="13.7109375" bestFit="1" customWidth="1"/>
    <col min="4102" max="4102" width="16.85546875" bestFit="1" customWidth="1"/>
    <col min="4104" max="4104" width="25.7109375" bestFit="1" customWidth="1"/>
    <col min="4105" max="4105" width="12.5703125" bestFit="1" customWidth="1"/>
    <col min="4354" max="4354" width="7" bestFit="1" customWidth="1"/>
    <col min="4355" max="4355" width="44" bestFit="1" customWidth="1"/>
    <col min="4356" max="4356" width="9.42578125" bestFit="1" customWidth="1"/>
    <col min="4357" max="4357" width="13.7109375" bestFit="1" customWidth="1"/>
    <col min="4358" max="4358" width="16.85546875" bestFit="1" customWidth="1"/>
    <col min="4360" max="4360" width="25.7109375" bestFit="1" customWidth="1"/>
    <col min="4361" max="4361" width="12.5703125" bestFit="1" customWidth="1"/>
    <col min="4610" max="4610" width="7" bestFit="1" customWidth="1"/>
    <col min="4611" max="4611" width="44" bestFit="1" customWidth="1"/>
    <col min="4612" max="4612" width="9.42578125" bestFit="1" customWidth="1"/>
    <col min="4613" max="4613" width="13.7109375" bestFit="1" customWidth="1"/>
    <col min="4614" max="4614" width="16.85546875" bestFit="1" customWidth="1"/>
    <col min="4616" max="4616" width="25.7109375" bestFit="1" customWidth="1"/>
    <col min="4617" max="4617" width="12.5703125" bestFit="1" customWidth="1"/>
    <col min="4866" max="4866" width="7" bestFit="1" customWidth="1"/>
    <col min="4867" max="4867" width="44" bestFit="1" customWidth="1"/>
    <col min="4868" max="4868" width="9.42578125" bestFit="1" customWidth="1"/>
    <col min="4869" max="4869" width="13.7109375" bestFit="1" customWidth="1"/>
    <col min="4870" max="4870" width="16.85546875" bestFit="1" customWidth="1"/>
    <col min="4872" max="4872" width="25.7109375" bestFit="1" customWidth="1"/>
    <col min="4873" max="4873" width="12.5703125" bestFit="1" customWidth="1"/>
    <col min="5122" max="5122" width="7" bestFit="1" customWidth="1"/>
    <col min="5123" max="5123" width="44" bestFit="1" customWidth="1"/>
    <col min="5124" max="5124" width="9.42578125" bestFit="1" customWidth="1"/>
    <col min="5125" max="5125" width="13.7109375" bestFit="1" customWidth="1"/>
    <col min="5126" max="5126" width="16.85546875" bestFit="1" customWidth="1"/>
    <col min="5128" max="5128" width="25.7109375" bestFit="1" customWidth="1"/>
    <col min="5129" max="5129" width="12.5703125" bestFit="1" customWidth="1"/>
    <col min="5378" max="5378" width="7" bestFit="1" customWidth="1"/>
    <col min="5379" max="5379" width="44" bestFit="1" customWidth="1"/>
    <col min="5380" max="5380" width="9.42578125" bestFit="1" customWidth="1"/>
    <col min="5381" max="5381" width="13.7109375" bestFit="1" customWidth="1"/>
    <col min="5382" max="5382" width="16.85546875" bestFit="1" customWidth="1"/>
    <col min="5384" max="5384" width="25.7109375" bestFit="1" customWidth="1"/>
    <col min="5385" max="5385" width="12.5703125" bestFit="1" customWidth="1"/>
    <col min="5634" max="5634" width="7" bestFit="1" customWidth="1"/>
    <col min="5635" max="5635" width="44" bestFit="1" customWidth="1"/>
    <col min="5636" max="5636" width="9.42578125" bestFit="1" customWidth="1"/>
    <col min="5637" max="5637" width="13.7109375" bestFit="1" customWidth="1"/>
    <col min="5638" max="5638" width="16.85546875" bestFit="1" customWidth="1"/>
    <col min="5640" max="5640" width="25.7109375" bestFit="1" customWidth="1"/>
    <col min="5641" max="5641" width="12.5703125" bestFit="1" customWidth="1"/>
    <col min="5890" max="5890" width="7" bestFit="1" customWidth="1"/>
    <col min="5891" max="5891" width="44" bestFit="1" customWidth="1"/>
    <col min="5892" max="5892" width="9.42578125" bestFit="1" customWidth="1"/>
    <col min="5893" max="5893" width="13.7109375" bestFit="1" customWidth="1"/>
    <col min="5894" max="5894" width="16.85546875" bestFit="1" customWidth="1"/>
    <col min="5896" max="5896" width="25.7109375" bestFit="1" customWidth="1"/>
    <col min="5897" max="5897" width="12.5703125" bestFit="1" customWidth="1"/>
    <col min="6146" max="6146" width="7" bestFit="1" customWidth="1"/>
    <col min="6147" max="6147" width="44" bestFit="1" customWidth="1"/>
    <col min="6148" max="6148" width="9.42578125" bestFit="1" customWidth="1"/>
    <col min="6149" max="6149" width="13.7109375" bestFit="1" customWidth="1"/>
    <col min="6150" max="6150" width="16.85546875" bestFit="1" customWidth="1"/>
    <col min="6152" max="6152" width="25.7109375" bestFit="1" customWidth="1"/>
    <col min="6153" max="6153" width="12.5703125" bestFit="1" customWidth="1"/>
    <col min="6402" max="6402" width="7" bestFit="1" customWidth="1"/>
    <col min="6403" max="6403" width="44" bestFit="1" customWidth="1"/>
    <col min="6404" max="6404" width="9.42578125" bestFit="1" customWidth="1"/>
    <col min="6405" max="6405" width="13.7109375" bestFit="1" customWidth="1"/>
    <col min="6406" max="6406" width="16.85546875" bestFit="1" customWidth="1"/>
    <col min="6408" max="6408" width="25.7109375" bestFit="1" customWidth="1"/>
    <col min="6409" max="6409" width="12.5703125" bestFit="1" customWidth="1"/>
    <col min="6658" max="6658" width="7" bestFit="1" customWidth="1"/>
    <col min="6659" max="6659" width="44" bestFit="1" customWidth="1"/>
    <col min="6660" max="6660" width="9.42578125" bestFit="1" customWidth="1"/>
    <col min="6661" max="6661" width="13.7109375" bestFit="1" customWidth="1"/>
    <col min="6662" max="6662" width="16.85546875" bestFit="1" customWidth="1"/>
    <col min="6664" max="6664" width="25.7109375" bestFit="1" customWidth="1"/>
    <col min="6665" max="6665" width="12.5703125" bestFit="1" customWidth="1"/>
    <col min="6914" max="6914" width="7" bestFit="1" customWidth="1"/>
    <col min="6915" max="6915" width="44" bestFit="1" customWidth="1"/>
    <col min="6916" max="6916" width="9.42578125" bestFit="1" customWidth="1"/>
    <col min="6917" max="6917" width="13.7109375" bestFit="1" customWidth="1"/>
    <col min="6918" max="6918" width="16.85546875" bestFit="1" customWidth="1"/>
    <col min="6920" max="6920" width="25.7109375" bestFit="1" customWidth="1"/>
    <col min="6921" max="6921" width="12.5703125" bestFit="1" customWidth="1"/>
    <col min="7170" max="7170" width="7" bestFit="1" customWidth="1"/>
    <col min="7171" max="7171" width="44" bestFit="1" customWidth="1"/>
    <col min="7172" max="7172" width="9.42578125" bestFit="1" customWidth="1"/>
    <col min="7173" max="7173" width="13.7109375" bestFit="1" customWidth="1"/>
    <col min="7174" max="7174" width="16.85546875" bestFit="1" customWidth="1"/>
    <col min="7176" max="7176" width="25.7109375" bestFit="1" customWidth="1"/>
    <col min="7177" max="7177" width="12.5703125" bestFit="1" customWidth="1"/>
    <col min="7426" max="7426" width="7" bestFit="1" customWidth="1"/>
    <col min="7427" max="7427" width="44" bestFit="1" customWidth="1"/>
    <col min="7428" max="7428" width="9.42578125" bestFit="1" customWidth="1"/>
    <col min="7429" max="7429" width="13.7109375" bestFit="1" customWidth="1"/>
    <col min="7430" max="7430" width="16.85546875" bestFit="1" customWidth="1"/>
    <col min="7432" max="7432" width="25.7109375" bestFit="1" customWidth="1"/>
    <col min="7433" max="7433" width="12.5703125" bestFit="1" customWidth="1"/>
    <col min="7682" max="7682" width="7" bestFit="1" customWidth="1"/>
    <col min="7683" max="7683" width="44" bestFit="1" customWidth="1"/>
    <col min="7684" max="7684" width="9.42578125" bestFit="1" customWidth="1"/>
    <col min="7685" max="7685" width="13.7109375" bestFit="1" customWidth="1"/>
    <col min="7686" max="7686" width="16.85546875" bestFit="1" customWidth="1"/>
    <col min="7688" max="7688" width="25.7109375" bestFit="1" customWidth="1"/>
    <col min="7689" max="7689" width="12.5703125" bestFit="1" customWidth="1"/>
    <col min="7938" max="7938" width="7" bestFit="1" customWidth="1"/>
    <col min="7939" max="7939" width="44" bestFit="1" customWidth="1"/>
    <col min="7940" max="7940" width="9.42578125" bestFit="1" customWidth="1"/>
    <col min="7941" max="7941" width="13.7109375" bestFit="1" customWidth="1"/>
    <col min="7942" max="7942" width="16.85546875" bestFit="1" customWidth="1"/>
    <col min="7944" max="7944" width="25.7109375" bestFit="1" customWidth="1"/>
    <col min="7945" max="7945" width="12.5703125" bestFit="1" customWidth="1"/>
    <col min="8194" max="8194" width="7" bestFit="1" customWidth="1"/>
    <col min="8195" max="8195" width="44" bestFit="1" customWidth="1"/>
    <col min="8196" max="8196" width="9.42578125" bestFit="1" customWidth="1"/>
    <col min="8197" max="8197" width="13.7109375" bestFit="1" customWidth="1"/>
    <col min="8198" max="8198" width="16.85546875" bestFit="1" customWidth="1"/>
    <col min="8200" max="8200" width="25.7109375" bestFit="1" customWidth="1"/>
    <col min="8201" max="8201" width="12.5703125" bestFit="1" customWidth="1"/>
    <col min="8450" max="8450" width="7" bestFit="1" customWidth="1"/>
    <col min="8451" max="8451" width="44" bestFit="1" customWidth="1"/>
    <col min="8452" max="8452" width="9.42578125" bestFit="1" customWidth="1"/>
    <col min="8453" max="8453" width="13.7109375" bestFit="1" customWidth="1"/>
    <col min="8454" max="8454" width="16.85546875" bestFit="1" customWidth="1"/>
    <col min="8456" max="8456" width="25.7109375" bestFit="1" customWidth="1"/>
    <col min="8457" max="8457" width="12.5703125" bestFit="1" customWidth="1"/>
    <col min="8706" max="8706" width="7" bestFit="1" customWidth="1"/>
    <col min="8707" max="8707" width="44" bestFit="1" customWidth="1"/>
    <col min="8708" max="8708" width="9.42578125" bestFit="1" customWidth="1"/>
    <col min="8709" max="8709" width="13.7109375" bestFit="1" customWidth="1"/>
    <col min="8710" max="8710" width="16.85546875" bestFit="1" customWidth="1"/>
    <col min="8712" max="8712" width="25.7109375" bestFit="1" customWidth="1"/>
    <col min="8713" max="8713" width="12.5703125" bestFit="1" customWidth="1"/>
    <col min="8962" max="8962" width="7" bestFit="1" customWidth="1"/>
    <col min="8963" max="8963" width="44" bestFit="1" customWidth="1"/>
    <col min="8964" max="8964" width="9.42578125" bestFit="1" customWidth="1"/>
    <col min="8965" max="8965" width="13.7109375" bestFit="1" customWidth="1"/>
    <col min="8966" max="8966" width="16.85546875" bestFit="1" customWidth="1"/>
    <col min="8968" max="8968" width="25.7109375" bestFit="1" customWidth="1"/>
    <col min="8969" max="8969" width="12.5703125" bestFit="1" customWidth="1"/>
    <col min="9218" max="9218" width="7" bestFit="1" customWidth="1"/>
    <col min="9219" max="9219" width="44" bestFit="1" customWidth="1"/>
    <col min="9220" max="9220" width="9.42578125" bestFit="1" customWidth="1"/>
    <col min="9221" max="9221" width="13.7109375" bestFit="1" customWidth="1"/>
    <col min="9222" max="9222" width="16.85546875" bestFit="1" customWidth="1"/>
    <col min="9224" max="9224" width="25.7109375" bestFit="1" customWidth="1"/>
    <col min="9225" max="9225" width="12.5703125" bestFit="1" customWidth="1"/>
    <col min="9474" max="9474" width="7" bestFit="1" customWidth="1"/>
    <col min="9475" max="9475" width="44" bestFit="1" customWidth="1"/>
    <col min="9476" max="9476" width="9.42578125" bestFit="1" customWidth="1"/>
    <col min="9477" max="9477" width="13.7109375" bestFit="1" customWidth="1"/>
    <col min="9478" max="9478" width="16.85546875" bestFit="1" customWidth="1"/>
    <col min="9480" max="9480" width="25.7109375" bestFit="1" customWidth="1"/>
    <col min="9481" max="9481" width="12.5703125" bestFit="1" customWidth="1"/>
    <col min="9730" max="9730" width="7" bestFit="1" customWidth="1"/>
    <col min="9731" max="9731" width="44" bestFit="1" customWidth="1"/>
    <col min="9732" max="9732" width="9.42578125" bestFit="1" customWidth="1"/>
    <col min="9733" max="9733" width="13.7109375" bestFit="1" customWidth="1"/>
    <col min="9734" max="9734" width="16.85546875" bestFit="1" customWidth="1"/>
    <col min="9736" max="9736" width="25.7109375" bestFit="1" customWidth="1"/>
    <col min="9737" max="9737" width="12.5703125" bestFit="1" customWidth="1"/>
    <col min="9986" max="9986" width="7" bestFit="1" customWidth="1"/>
    <col min="9987" max="9987" width="44" bestFit="1" customWidth="1"/>
    <col min="9988" max="9988" width="9.42578125" bestFit="1" customWidth="1"/>
    <col min="9989" max="9989" width="13.7109375" bestFit="1" customWidth="1"/>
    <col min="9990" max="9990" width="16.85546875" bestFit="1" customWidth="1"/>
    <col min="9992" max="9992" width="25.7109375" bestFit="1" customWidth="1"/>
    <col min="9993" max="9993" width="12.5703125" bestFit="1" customWidth="1"/>
    <col min="10242" max="10242" width="7" bestFit="1" customWidth="1"/>
    <col min="10243" max="10243" width="44" bestFit="1" customWidth="1"/>
    <col min="10244" max="10244" width="9.42578125" bestFit="1" customWidth="1"/>
    <col min="10245" max="10245" width="13.7109375" bestFit="1" customWidth="1"/>
    <col min="10246" max="10246" width="16.85546875" bestFit="1" customWidth="1"/>
    <col min="10248" max="10248" width="25.7109375" bestFit="1" customWidth="1"/>
    <col min="10249" max="10249" width="12.5703125" bestFit="1" customWidth="1"/>
    <col min="10498" max="10498" width="7" bestFit="1" customWidth="1"/>
    <col min="10499" max="10499" width="44" bestFit="1" customWidth="1"/>
    <col min="10500" max="10500" width="9.42578125" bestFit="1" customWidth="1"/>
    <col min="10501" max="10501" width="13.7109375" bestFit="1" customWidth="1"/>
    <col min="10502" max="10502" width="16.85546875" bestFit="1" customWidth="1"/>
    <col min="10504" max="10504" width="25.7109375" bestFit="1" customWidth="1"/>
    <col min="10505" max="10505" width="12.5703125" bestFit="1" customWidth="1"/>
    <col min="10754" max="10754" width="7" bestFit="1" customWidth="1"/>
    <col min="10755" max="10755" width="44" bestFit="1" customWidth="1"/>
    <col min="10756" max="10756" width="9.42578125" bestFit="1" customWidth="1"/>
    <col min="10757" max="10757" width="13.7109375" bestFit="1" customWidth="1"/>
    <col min="10758" max="10758" width="16.85546875" bestFit="1" customWidth="1"/>
    <col min="10760" max="10760" width="25.7109375" bestFit="1" customWidth="1"/>
    <col min="10761" max="10761" width="12.5703125" bestFit="1" customWidth="1"/>
    <col min="11010" max="11010" width="7" bestFit="1" customWidth="1"/>
    <col min="11011" max="11011" width="44" bestFit="1" customWidth="1"/>
    <col min="11012" max="11012" width="9.42578125" bestFit="1" customWidth="1"/>
    <col min="11013" max="11013" width="13.7109375" bestFit="1" customWidth="1"/>
    <col min="11014" max="11014" width="16.85546875" bestFit="1" customWidth="1"/>
    <col min="11016" max="11016" width="25.7109375" bestFit="1" customWidth="1"/>
    <col min="11017" max="11017" width="12.5703125" bestFit="1" customWidth="1"/>
    <col min="11266" max="11266" width="7" bestFit="1" customWidth="1"/>
    <col min="11267" max="11267" width="44" bestFit="1" customWidth="1"/>
    <col min="11268" max="11268" width="9.42578125" bestFit="1" customWidth="1"/>
    <col min="11269" max="11269" width="13.7109375" bestFit="1" customWidth="1"/>
    <col min="11270" max="11270" width="16.85546875" bestFit="1" customWidth="1"/>
    <col min="11272" max="11272" width="25.7109375" bestFit="1" customWidth="1"/>
    <col min="11273" max="11273" width="12.5703125" bestFit="1" customWidth="1"/>
    <col min="11522" max="11522" width="7" bestFit="1" customWidth="1"/>
    <col min="11523" max="11523" width="44" bestFit="1" customWidth="1"/>
    <col min="11524" max="11524" width="9.42578125" bestFit="1" customWidth="1"/>
    <col min="11525" max="11525" width="13.7109375" bestFit="1" customWidth="1"/>
    <col min="11526" max="11526" width="16.85546875" bestFit="1" customWidth="1"/>
    <col min="11528" max="11528" width="25.7109375" bestFit="1" customWidth="1"/>
    <col min="11529" max="11529" width="12.5703125" bestFit="1" customWidth="1"/>
    <col min="11778" max="11778" width="7" bestFit="1" customWidth="1"/>
    <col min="11779" max="11779" width="44" bestFit="1" customWidth="1"/>
    <col min="11780" max="11780" width="9.42578125" bestFit="1" customWidth="1"/>
    <col min="11781" max="11781" width="13.7109375" bestFit="1" customWidth="1"/>
    <col min="11782" max="11782" width="16.85546875" bestFit="1" customWidth="1"/>
    <col min="11784" max="11784" width="25.7109375" bestFit="1" customWidth="1"/>
    <col min="11785" max="11785" width="12.5703125" bestFit="1" customWidth="1"/>
    <col min="12034" max="12034" width="7" bestFit="1" customWidth="1"/>
    <col min="12035" max="12035" width="44" bestFit="1" customWidth="1"/>
    <col min="12036" max="12036" width="9.42578125" bestFit="1" customWidth="1"/>
    <col min="12037" max="12037" width="13.7109375" bestFit="1" customWidth="1"/>
    <col min="12038" max="12038" width="16.85546875" bestFit="1" customWidth="1"/>
    <col min="12040" max="12040" width="25.7109375" bestFit="1" customWidth="1"/>
    <col min="12041" max="12041" width="12.5703125" bestFit="1" customWidth="1"/>
    <col min="12290" max="12290" width="7" bestFit="1" customWidth="1"/>
    <col min="12291" max="12291" width="44" bestFit="1" customWidth="1"/>
    <col min="12292" max="12292" width="9.42578125" bestFit="1" customWidth="1"/>
    <col min="12293" max="12293" width="13.7109375" bestFit="1" customWidth="1"/>
    <col min="12294" max="12294" width="16.85546875" bestFit="1" customWidth="1"/>
    <col min="12296" max="12296" width="25.7109375" bestFit="1" customWidth="1"/>
    <col min="12297" max="12297" width="12.5703125" bestFit="1" customWidth="1"/>
    <col min="12546" max="12546" width="7" bestFit="1" customWidth="1"/>
    <col min="12547" max="12547" width="44" bestFit="1" customWidth="1"/>
    <col min="12548" max="12548" width="9.42578125" bestFit="1" customWidth="1"/>
    <col min="12549" max="12549" width="13.7109375" bestFit="1" customWidth="1"/>
    <col min="12550" max="12550" width="16.85546875" bestFit="1" customWidth="1"/>
    <col min="12552" max="12552" width="25.7109375" bestFit="1" customWidth="1"/>
    <col min="12553" max="12553" width="12.5703125" bestFit="1" customWidth="1"/>
    <col min="12802" max="12802" width="7" bestFit="1" customWidth="1"/>
    <col min="12803" max="12803" width="44" bestFit="1" customWidth="1"/>
    <col min="12804" max="12804" width="9.42578125" bestFit="1" customWidth="1"/>
    <col min="12805" max="12805" width="13.7109375" bestFit="1" customWidth="1"/>
    <col min="12806" max="12806" width="16.85546875" bestFit="1" customWidth="1"/>
    <col min="12808" max="12808" width="25.7109375" bestFit="1" customWidth="1"/>
    <col min="12809" max="12809" width="12.5703125" bestFit="1" customWidth="1"/>
    <col min="13058" max="13058" width="7" bestFit="1" customWidth="1"/>
    <col min="13059" max="13059" width="44" bestFit="1" customWidth="1"/>
    <col min="13060" max="13060" width="9.42578125" bestFit="1" customWidth="1"/>
    <col min="13061" max="13061" width="13.7109375" bestFit="1" customWidth="1"/>
    <col min="13062" max="13062" width="16.85546875" bestFit="1" customWidth="1"/>
    <col min="13064" max="13064" width="25.7109375" bestFit="1" customWidth="1"/>
    <col min="13065" max="13065" width="12.5703125" bestFit="1" customWidth="1"/>
    <col min="13314" max="13314" width="7" bestFit="1" customWidth="1"/>
    <col min="13315" max="13315" width="44" bestFit="1" customWidth="1"/>
    <col min="13316" max="13316" width="9.42578125" bestFit="1" customWidth="1"/>
    <col min="13317" max="13317" width="13.7109375" bestFit="1" customWidth="1"/>
    <col min="13318" max="13318" width="16.85546875" bestFit="1" customWidth="1"/>
    <col min="13320" max="13320" width="25.7109375" bestFit="1" customWidth="1"/>
    <col min="13321" max="13321" width="12.5703125" bestFit="1" customWidth="1"/>
    <col min="13570" max="13570" width="7" bestFit="1" customWidth="1"/>
    <col min="13571" max="13571" width="44" bestFit="1" customWidth="1"/>
    <col min="13572" max="13572" width="9.42578125" bestFit="1" customWidth="1"/>
    <col min="13573" max="13573" width="13.7109375" bestFit="1" customWidth="1"/>
    <col min="13574" max="13574" width="16.85546875" bestFit="1" customWidth="1"/>
    <col min="13576" max="13576" width="25.7109375" bestFit="1" customWidth="1"/>
    <col min="13577" max="13577" width="12.5703125" bestFit="1" customWidth="1"/>
    <col min="13826" max="13826" width="7" bestFit="1" customWidth="1"/>
    <col min="13827" max="13827" width="44" bestFit="1" customWidth="1"/>
    <col min="13828" max="13828" width="9.42578125" bestFit="1" customWidth="1"/>
    <col min="13829" max="13829" width="13.7109375" bestFit="1" customWidth="1"/>
    <col min="13830" max="13830" width="16.85546875" bestFit="1" customWidth="1"/>
    <col min="13832" max="13832" width="25.7109375" bestFit="1" customWidth="1"/>
    <col min="13833" max="13833" width="12.5703125" bestFit="1" customWidth="1"/>
    <col min="14082" max="14082" width="7" bestFit="1" customWidth="1"/>
    <col min="14083" max="14083" width="44" bestFit="1" customWidth="1"/>
    <col min="14084" max="14084" width="9.42578125" bestFit="1" customWidth="1"/>
    <col min="14085" max="14085" width="13.7109375" bestFit="1" customWidth="1"/>
    <col min="14086" max="14086" width="16.85546875" bestFit="1" customWidth="1"/>
    <col min="14088" max="14088" width="25.7109375" bestFit="1" customWidth="1"/>
    <col min="14089" max="14089" width="12.5703125" bestFit="1" customWidth="1"/>
    <col min="14338" max="14338" width="7" bestFit="1" customWidth="1"/>
    <col min="14339" max="14339" width="44" bestFit="1" customWidth="1"/>
    <col min="14340" max="14340" width="9.42578125" bestFit="1" customWidth="1"/>
    <col min="14341" max="14341" width="13.7109375" bestFit="1" customWidth="1"/>
    <col min="14342" max="14342" width="16.85546875" bestFit="1" customWidth="1"/>
    <col min="14344" max="14344" width="25.7109375" bestFit="1" customWidth="1"/>
    <col min="14345" max="14345" width="12.5703125" bestFit="1" customWidth="1"/>
    <col min="14594" max="14594" width="7" bestFit="1" customWidth="1"/>
    <col min="14595" max="14595" width="44" bestFit="1" customWidth="1"/>
    <col min="14596" max="14596" width="9.42578125" bestFit="1" customWidth="1"/>
    <col min="14597" max="14597" width="13.7109375" bestFit="1" customWidth="1"/>
    <col min="14598" max="14598" width="16.85546875" bestFit="1" customWidth="1"/>
    <col min="14600" max="14600" width="25.7109375" bestFit="1" customWidth="1"/>
    <col min="14601" max="14601" width="12.5703125" bestFit="1" customWidth="1"/>
    <col min="14850" max="14850" width="7" bestFit="1" customWidth="1"/>
    <col min="14851" max="14851" width="44" bestFit="1" customWidth="1"/>
    <col min="14852" max="14852" width="9.42578125" bestFit="1" customWidth="1"/>
    <col min="14853" max="14853" width="13.7109375" bestFit="1" customWidth="1"/>
    <col min="14854" max="14854" width="16.85546875" bestFit="1" customWidth="1"/>
    <col min="14856" max="14856" width="25.7109375" bestFit="1" customWidth="1"/>
    <col min="14857" max="14857" width="12.5703125" bestFit="1" customWidth="1"/>
    <col min="15106" max="15106" width="7" bestFit="1" customWidth="1"/>
    <col min="15107" max="15107" width="44" bestFit="1" customWidth="1"/>
    <col min="15108" max="15108" width="9.42578125" bestFit="1" customWidth="1"/>
    <col min="15109" max="15109" width="13.7109375" bestFit="1" customWidth="1"/>
    <col min="15110" max="15110" width="16.85546875" bestFit="1" customWidth="1"/>
    <col min="15112" max="15112" width="25.7109375" bestFit="1" customWidth="1"/>
    <col min="15113" max="15113" width="12.5703125" bestFit="1" customWidth="1"/>
    <col min="15362" max="15362" width="7" bestFit="1" customWidth="1"/>
    <col min="15363" max="15363" width="44" bestFit="1" customWidth="1"/>
    <col min="15364" max="15364" width="9.42578125" bestFit="1" customWidth="1"/>
    <col min="15365" max="15365" width="13.7109375" bestFit="1" customWidth="1"/>
    <col min="15366" max="15366" width="16.85546875" bestFit="1" customWidth="1"/>
    <col min="15368" max="15368" width="25.7109375" bestFit="1" customWidth="1"/>
    <col min="15369" max="15369" width="12.5703125" bestFit="1" customWidth="1"/>
    <col min="15618" max="15618" width="7" bestFit="1" customWidth="1"/>
    <col min="15619" max="15619" width="44" bestFit="1" customWidth="1"/>
    <col min="15620" max="15620" width="9.42578125" bestFit="1" customWidth="1"/>
    <col min="15621" max="15621" width="13.7109375" bestFit="1" customWidth="1"/>
    <col min="15622" max="15622" width="16.85546875" bestFit="1" customWidth="1"/>
    <col min="15624" max="15624" width="25.7109375" bestFit="1" customWidth="1"/>
    <col min="15625" max="15625" width="12.5703125" bestFit="1" customWidth="1"/>
    <col min="15874" max="15874" width="7" bestFit="1" customWidth="1"/>
    <col min="15875" max="15875" width="44" bestFit="1" customWidth="1"/>
    <col min="15876" max="15876" width="9.42578125" bestFit="1" customWidth="1"/>
    <col min="15877" max="15877" width="13.7109375" bestFit="1" customWidth="1"/>
    <col min="15878" max="15878" width="16.85546875" bestFit="1" customWidth="1"/>
    <col min="15880" max="15880" width="25.7109375" bestFit="1" customWidth="1"/>
    <col min="15881" max="15881" width="12.5703125" bestFit="1" customWidth="1"/>
    <col min="16130" max="16130" width="7" bestFit="1" customWidth="1"/>
    <col min="16131" max="16131" width="44" bestFit="1" customWidth="1"/>
    <col min="16132" max="16132" width="9.42578125" bestFit="1" customWidth="1"/>
    <col min="16133" max="16133" width="13.7109375" bestFit="1" customWidth="1"/>
    <col min="16134" max="16134" width="16.85546875" bestFit="1" customWidth="1"/>
    <col min="16136" max="16136" width="25.7109375" bestFit="1" customWidth="1"/>
    <col min="16137" max="16137" width="12.5703125" bestFit="1" customWidth="1"/>
  </cols>
  <sheetData>
    <row r="1" spans="1:8" ht="15.75" x14ac:dyDescent="0.25">
      <c r="A1" s="475" t="s">
        <v>149</v>
      </c>
      <c r="B1" s="476"/>
      <c r="C1" s="476"/>
      <c r="D1" s="476"/>
      <c r="E1" s="476"/>
      <c r="F1" s="477"/>
    </row>
    <row r="2" spans="1:8" ht="6" customHeight="1" x14ac:dyDescent="0.25">
      <c r="A2" s="141"/>
      <c r="B2" s="142"/>
      <c r="C2" s="142"/>
      <c r="D2" s="142"/>
      <c r="E2" s="142"/>
      <c r="F2" s="143"/>
    </row>
    <row r="3" spans="1:8" ht="32.25" customHeight="1" x14ac:dyDescent="0.25">
      <c r="A3" s="128" t="s">
        <v>70</v>
      </c>
      <c r="B3" s="128" t="s">
        <v>133</v>
      </c>
      <c r="C3" s="128" t="s">
        <v>135</v>
      </c>
      <c r="D3" s="128" t="s">
        <v>136</v>
      </c>
      <c r="E3" s="128" t="s">
        <v>121</v>
      </c>
      <c r="F3" s="128" t="s">
        <v>121</v>
      </c>
    </row>
    <row r="4" spans="1:8" s="126" customFormat="1" ht="33" customHeight="1" x14ac:dyDescent="0.25">
      <c r="A4" s="124">
        <v>1</v>
      </c>
      <c r="B4" s="146" t="s">
        <v>139</v>
      </c>
      <c r="C4" s="124">
        <v>2</v>
      </c>
      <c r="D4" s="96">
        <v>35</v>
      </c>
      <c r="E4" s="125">
        <f>D4*C4</f>
        <v>70</v>
      </c>
      <c r="F4" s="125">
        <f>E4/60</f>
        <v>1.1666666666666667</v>
      </c>
    </row>
    <row r="5" spans="1:8" s="126" customFormat="1" x14ac:dyDescent="0.25">
      <c r="A5" s="124">
        <v>2</v>
      </c>
      <c r="B5" s="146" t="s">
        <v>140</v>
      </c>
      <c r="C5" s="124">
        <v>4</v>
      </c>
      <c r="D5" s="96">
        <v>1.25</v>
      </c>
      <c r="E5" s="125">
        <f t="shared" ref="E5:E14" si="0">D5*C5</f>
        <v>5</v>
      </c>
      <c r="F5" s="125">
        <f t="shared" ref="F5:F14" si="1">E5/60</f>
        <v>8.3333333333333329E-2</v>
      </c>
    </row>
    <row r="6" spans="1:8" s="126" customFormat="1" x14ac:dyDescent="0.25">
      <c r="A6" s="124">
        <v>3</v>
      </c>
      <c r="B6" s="146" t="s">
        <v>134</v>
      </c>
      <c r="C6" s="124">
        <v>4</v>
      </c>
      <c r="D6" s="96">
        <v>60</v>
      </c>
      <c r="E6" s="125">
        <f t="shared" si="0"/>
        <v>240</v>
      </c>
      <c r="F6" s="125">
        <f t="shared" si="1"/>
        <v>4</v>
      </c>
    </row>
    <row r="7" spans="1:8" s="126" customFormat="1" ht="30" x14ac:dyDescent="0.25">
      <c r="A7" s="124">
        <v>4</v>
      </c>
      <c r="B7" s="146" t="s">
        <v>141</v>
      </c>
      <c r="C7" s="124">
        <v>2</v>
      </c>
      <c r="D7" s="96">
        <v>30</v>
      </c>
      <c r="E7" s="125">
        <f t="shared" si="0"/>
        <v>60</v>
      </c>
      <c r="F7" s="125">
        <f t="shared" si="1"/>
        <v>1</v>
      </c>
      <c r="H7" s="127"/>
    </row>
    <row r="8" spans="1:8" s="126" customFormat="1" x14ac:dyDescent="0.25">
      <c r="A8" s="124">
        <v>5</v>
      </c>
      <c r="B8" s="146" t="s">
        <v>142</v>
      </c>
      <c r="C8" s="124">
        <v>4</v>
      </c>
      <c r="D8" s="96">
        <v>20</v>
      </c>
      <c r="E8" s="125">
        <f t="shared" si="0"/>
        <v>80</v>
      </c>
      <c r="F8" s="125">
        <f t="shared" si="1"/>
        <v>1.3333333333333333</v>
      </c>
    </row>
    <row r="9" spans="1:8" s="126" customFormat="1" x14ac:dyDescent="0.25">
      <c r="A9" s="124">
        <v>6</v>
      </c>
      <c r="B9" s="147" t="s">
        <v>143</v>
      </c>
      <c r="C9" s="124">
        <v>4</v>
      </c>
      <c r="D9" s="96">
        <v>5</v>
      </c>
      <c r="E9" s="125">
        <f t="shared" si="0"/>
        <v>20</v>
      </c>
      <c r="F9" s="125">
        <f t="shared" si="1"/>
        <v>0.33333333333333331</v>
      </c>
    </row>
    <row r="10" spans="1:8" s="126" customFormat="1" ht="60.75" customHeight="1" x14ac:dyDescent="0.25">
      <c r="A10" s="124">
        <v>7</v>
      </c>
      <c r="B10" s="146" t="s">
        <v>144</v>
      </c>
      <c r="C10" s="124">
        <v>4</v>
      </c>
      <c r="D10" s="96">
        <v>950</v>
      </c>
      <c r="E10" s="125">
        <f>D10*C10</f>
        <v>3800</v>
      </c>
      <c r="F10" s="125">
        <f t="shared" si="1"/>
        <v>63.333333333333336</v>
      </c>
    </row>
    <row r="11" spans="1:8" s="126" customFormat="1" x14ac:dyDescent="0.25">
      <c r="A11" s="124">
        <v>8</v>
      </c>
      <c r="B11" s="146" t="s">
        <v>145</v>
      </c>
      <c r="C11" s="124">
        <v>4</v>
      </c>
      <c r="D11" s="96">
        <v>50</v>
      </c>
      <c r="E11" s="125">
        <f t="shared" si="0"/>
        <v>200</v>
      </c>
      <c r="F11" s="125">
        <f t="shared" si="1"/>
        <v>3.3333333333333335</v>
      </c>
      <c r="H11" s="127"/>
    </row>
    <row r="12" spans="1:8" s="126" customFormat="1" x14ac:dyDescent="0.25">
      <c r="A12" s="124">
        <v>9</v>
      </c>
      <c r="B12" s="147" t="s">
        <v>146</v>
      </c>
      <c r="C12" s="124">
        <v>4</v>
      </c>
      <c r="D12" s="96">
        <v>25</v>
      </c>
      <c r="E12" s="125">
        <f t="shared" si="0"/>
        <v>100</v>
      </c>
      <c r="F12" s="125">
        <f t="shared" si="1"/>
        <v>1.6666666666666667</v>
      </c>
    </row>
    <row r="13" spans="1:8" s="126" customFormat="1" x14ac:dyDescent="0.25">
      <c r="A13" s="124">
        <v>10</v>
      </c>
      <c r="B13" s="147" t="s">
        <v>147</v>
      </c>
      <c r="C13" s="124">
        <v>4</v>
      </c>
      <c r="D13" s="96">
        <v>5</v>
      </c>
      <c r="E13" s="125">
        <f t="shared" si="0"/>
        <v>20</v>
      </c>
      <c r="F13" s="125">
        <f t="shared" si="1"/>
        <v>0.33333333333333331</v>
      </c>
    </row>
    <row r="14" spans="1:8" s="126" customFormat="1" ht="46.5" customHeight="1" x14ac:dyDescent="0.25">
      <c r="A14" s="124">
        <v>11</v>
      </c>
      <c r="B14" s="146" t="s">
        <v>148</v>
      </c>
      <c r="C14" s="124">
        <v>2</v>
      </c>
      <c r="D14" s="96">
        <v>6.5</v>
      </c>
      <c r="E14" s="125">
        <f t="shared" si="0"/>
        <v>13</v>
      </c>
      <c r="F14" s="125">
        <f t="shared" si="1"/>
        <v>0.21666666666666667</v>
      </c>
    </row>
    <row r="15" spans="1:8" x14ac:dyDescent="0.25">
      <c r="A15" s="478" t="s">
        <v>122</v>
      </c>
      <c r="B15" s="479"/>
      <c r="C15" s="479"/>
      <c r="D15" s="480"/>
      <c r="E15" s="145"/>
      <c r="F15" s="97">
        <f>SUM(F4:F14)</f>
        <v>76.8</v>
      </c>
    </row>
    <row r="16" spans="1:8" x14ac:dyDescent="0.25">
      <c r="A16" s="481" t="s">
        <v>123</v>
      </c>
      <c r="B16" s="481"/>
      <c r="C16" s="481"/>
      <c r="D16" s="98">
        <v>2</v>
      </c>
      <c r="E16" s="98">
        <v>4</v>
      </c>
      <c r="F16" s="97">
        <f>F15/D16</f>
        <v>38.4</v>
      </c>
    </row>
    <row r="17" spans="1:6" x14ac:dyDescent="0.25">
      <c r="A17" s="99"/>
      <c r="B17" s="99"/>
      <c r="C17" s="99"/>
      <c r="D17" s="99"/>
      <c r="E17" s="99"/>
      <c r="F17" s="99"/>
    </row>
  </sheetData>
  <mergeCells count="3">
    <mergeCell ref="A1:F1"/>
    <mergeCell ref="A15:D15"/>
    <mergeCell ref="A16:C1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C6" sqref="C6"/>
    </sheetView>
  </sheetViews>
  <sheetFormatPr defaultRowHeight="15" x14ac:dyDescent="0.25"/>
  <cols>
    <col min="2" max="2" width="34.5703125" customWidth="1"/>
    <col min="3" max="4" width="19" customWidth="1"/>
  </cols>
  <sheetData>
    <row r="1" spans="1:4" x14ac:dyDescent="0.25">
      <c r="A1" s="364" t="s">
        <v>171</v>
      </c>
      <c r="B1" s="364" t="s">
        <v>172</v>
      </c>
      <c r="C1" s="161" t="s">
        <v>173</v>
      </c>
      <c r="D1" s="364" t="s">
        <v>175</v>
      </c>
    </row>
    <row r="2" spans="1:4" ht="15.75" thickBot="1" x14ac:dyDescent="0.3">
      <c r="A2" s="365"/>
      <c r="B2" s="365"/>
      <c r="C2" s="162" t="s">
        <v>174</v>
      </c>
      <c r="D2" s="365"/>
    </row>
    <row r="3" spans="1:4" ht="37.5" customHeight="1" thickBot="1" x14ac:dyDescent="0.3">
      <c r="A3" s="163">
        <v>1</v>
      </c>
      <c r="B3" s="164" t="s">
        <v>176</v>
      </c>
      <c r="C3" s="165">
        <v>4</v>
      </c>
      <c r="D3" s="165">
        <v>8</v>
      </c>
    </row>
    <row r="4" spans="1:4" ht="27.75" customHeight="1" thickBot="1" x14ac:dyDescent="0.3">
      <c r="A4" s="163">
        <v>2</v>
      </c>
      <c r="B4" s="164" t="s">
        <v>177</v>
      </c>
      <c r="C4" s="165">
        <v>1</v>
      </c>
      <c r="D4" s="165">
        <v>1</v>
      </c>
    </row>
    <row r="5" spans="1:4" ht="22.5" customHeight="1" thickBot="1" x14ac:dyDescent="0.3">
      <c r="A5" s="163">
        <v>3</v>
      </c>
      <c r="B5" s="164" t="s">
        <v>178</v>
      </c>
      <c r="C5" s="165">
        <v>1</v>
      </c>
      <c r="D5" s="165">
        <v>1</v>
      </c>
    </row>
    <row r="6" spans="1:4" ht="21.75" customHeight="1" thickBot="1" x14ac:dyDescent="0.3">
      <c r="A6" s="163">
        <v>4</v>
      </c>
      <c r="B6" s="164" t="s">
        <v>179</v>
      </c>
      <c r="C6" s="165">
        <v>2</v>
      </c>
      <c r="D6" s="165">
        <v>4</v>
      </c>
    </row>
    <row r="7" spans="1:4" ht="34.5" customHeight="1" thickBot="1" x14ac:dyDescent="0.3">
      <c r="A7" s="163">
        <v>5</v>
      </c>
      <c r="B7" s="164" t="s">
        <v>180</v>
      </c>
      <c r="C7" s="165">
        <v>2</v>
      </c>
      <c r="D7" s="165">
        <v>4</v>
      </c>
    </row>
    <row r="8" spans="1:4" ht="22.5" customHeight="1" thickBot="1" x14ac:dyDescent="0.3">
      <c r="A8" s="163">
        <v>6</v>
      </c>
      <c r="B8" s="164" t="s">
        <v>181</v>
      </c>
      <c r="C8" s="165">
        <v>1</v>
      </c>
      <c r="D8" s="165">
        <v>1</v>
      </c>
    </row>
    <row r="9" spans="1:4" ht="21.75" customHeight="1" thickBot="1" x14ac:dyDescent="0.3">
      <c r="A9" s="163">
        <v>7</v>
      </c>
      <c r="B9" s="164" t="s">
        <v>182</v>
      </c>
      <c r="C9" s="165">
        <v>2</v>
      </c>
      <c r="D9" s="165">
        <v>4</v>
      </c>
    </row>
    <row r="10" spans="1:4" ht="20.25" customHeight="1" thickBot="1" x14ac:dyDescent="0.3">
      <c r="A10" s="163">
        <v>8</v>
      </c>
      <c r="B10" s="164" t="s">
        <v>183</v>
      </c>
      <c r="C10" s="165">
        <v>2</v>
      </c>
      <c r="D10" s="165">
        <v>4</v>
      </c>
    </row>
    <row r="11" spans="1:4" ht="17.25" customHeight="1" thickBot="1" x14ac:dyDescent="0.3">
      <c r="A11" s="163">
        <v>9</v>
      </c>
      <c r="B11" s="164" t="s">
        <v>184</v>
      </c>
      <c r="C11" s="165">
        <v>4</v>
      </c>
      <c r="D11" s="165">
        <v>8</v>
      </c>
    </row>
    <row r="12" spans="1:4" ht="16.5" customHeight="1" thickBot="1" x14ac:dyDescent="0.3">
      <c r="A12" s="163">
        <v>10</v>
      </c>
      <c r="B12" s="164" t="s">
        <v>185</v>
      </c>
      <c r="C12" s="165">
        <v>1</v>
      </c>
      <c r="D12" s="165">
        <v>1</v>
      </c>
    </row>
    <row r="13" spans="1:4" ht="24.75" customHeight="1" thickBot="1" x14ac:dyDescent="0.3">
      <c r="A13" s="163">
        <v>11</v>
      </c>
      <c r="B13" s="164" t="s">
        <v>186</v>
      </c>
      <c r="C13" s="165">
        <v>2</v>
      </c>
      <c r="D13" s="165">
        <v>4</v>
      </c>
    </row>
    <row r="14" spans="1:4" ht="31.5" customHeight="1" thickBot="1" x14ac:dyDescent="0.3">
      <c r="A14" s="163">
        <v>12</v>
      </c>
      <c r="B14" s="164" t="s">
        <v>187</v>
      </c>
      <c r="C14" s="165">
        <v>1</v>
      </c>
      <c r="D14" s="165">
        <v>1</v>
      </c>
    </row>
    <row r="15" spans="1:4" ht="20.25" customHeight="1" thickBot="1" x14ac:dyDescent="0.3">
      <c r="A15" s="163">
        <v>13</v>
      </c>
      <c r="B15" s="164" t="s">
        <v>188</v>
      </c>
      <c r="C15" s="165">
        <v>1</v>
      </c>
      <c r="D15" s="165">
        <v>1</v>
      </c>
    </row>
    <row r="16" spans="1:4" ht="15.75" thickBot="1" x14ac:dyDescent="0.3">
      <c r="A16" s="163">
        <v>14</v>
      </c>
      <c r="B16" s="166" t="s">
        <v>189</v>
      </c>
      <c r="C16" s="165">
        <v>2</v>
      </c>
      <c r="D16" s="165">
        <v>4</v>
      </c>
    </row>
    <row r="17" spans="1:4" ht="15.75" thickBot="1" x14ac:dyDescent="0.3">
      <c r="A17" s="163">
        <v>15</v>
      </c>
      <c r="B17" s="166" t="s">
        <v>190</v>
      </c>
      <c r="C17" s="165">
        <v>2</v>
      </c>
      <c r="D17" s="165">
        <v>4</v>
      </c>
    </row>
    <row r="18" spans="1:4" ht="15.75" thickBot="1" x14ac:dyDescent="0.3">
      <c r="A18" s="366" t="s">
        <v>191</v>
      </c>
      <c r="B18" s="367"/>
      <c r="C18" s="167">
        <v>28</v>
      </c>
      <c r="D18" s="167">
        <v>50</v>
      </c>
    </row>
  </sheetData>
  <mergeCells count="4">
    <mergeCell ref="A1:A2"/>
    <mergeCell ref="B1:B2"/>
    <mergeCell ref="D1:D2"/>
    <mergeCell ref="A18:B1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U55"/>
  <sheetViews>
    <sheetView showGridLines="0" view="pageBreakPreview" topLeftCell="A21" zoomScale="120" zoomScaleNormal="100" zoomScaleSheetLayoutView="120" workbookViewId="0">
      <selection activeCell="H26" sqref="H26"/>
    </sheetView>
  </sheetViews>
  <sheetFormatPr defaultRowHeight="15.7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2.42578125" style="22" customWidth="1"/>
    <col min="6" max="6" width="10.7109375" style="22" customWidth="1"/>
    <col min="7" max="7" width="13.85546875" style="22" customWidth="1"/>
    <col min="8" max="8" width="15.28515625" style="22" customWidth="1"/>
    <col min="9" max="10" width="16.42578125" style="22" customWidth="1"/>
    <col min="11" max="11" width="11.140625" style="257" customWidth="1"/>
    <col min="12" max="12" width="19.28515625" style="258" customWidth="1"/>
    <col min="13" max="246" width="9.140625" style="22"/>
    <col min="247" max="247" width="3.28515625" style="22" customWidth="1"/>
    <col min="248" max="248" width="29" style="22" customWidth="1"/>
    <col min="249" max="249" width="14" style="22" customWidth="1"/>
    <col min="250" max="250" width="11.28515625" style="22" customWidth="1"/>
    <col min="251" max="251" width="16.7109375" style="22" customWidth="1"/>
    <col min="252" max="252" width="8.85546875" style="22" customWidth="1"/>
    <col min="253" max="253" width="29" style="22" customWidth="1"/>
    <col min="254" max="502" width="9.140625" style="22"/>
    <col min="503" max="503" width="3.28515625" style="22" customWidth="1"/>
    <col min="504" max="504" width="29" style="22" customWidth="1"/>
    <col min="505" max="505" width="14" style="22" customWidth="1"/>
    <col min="506" max="506" width="11.28515625" style="22" customWidth="1"/>
    <col min="507" max="507" width="16.7109375" style="22" customWidth="1"/>
    <col min="508" max="508" width="8.85546875" style="22" customWidth="1"/>
    <col min="509" max="509" width="29" style="22" customWidth="1"/>
    <col min="510" max="758" width="9.140625" style="22"/>
    <col min="759" max="759" width="3.28515625" style="22" customWidth="1"/>
    <col min="760" max="760" width="29" style="22" customWidth="1"/>
    <col min="761" max="761" width="14" style="22" customWidth="1"/>
    <col min="762" max="762" width="11.28515625" style="22" customWidth="1"/>
    <col min="763" max="763" width="16.7109375" style="22" customWidth="1"/>
    <col min="764" max="764" width="8.85546875" style="22" customWidth="1"/>
    <col min="765" max="765" width="29" style="22" customWidth="1"/>
    <col min="766" max="1014" width="9.140625" style="22"/>
    <col min="1015" max="1015" width="3.28515625" style="22" customWidth="1"/>
    <col min="1016" max="1016" width="29" style="22" customWidth="1"/>
    <col min="1017" max="1017" width="14" style="22" customWidth="1"/>
    <col min="1018" max="1018" width="11.28515625" style="22" customWidth="1"/>
    <col min="1019" max="1019" width="16.7109375" style="22" customWidth="1"/>
    <col min="1020" max="1020" width="8.85546875" style="22" customWidth="1"/>
    <col min="1021" max="1021" width="29" style="22" customWidth="1"/>
    <col min="1022" max="1270" width="9.140625" style="22"/>
    <col min="1271" max="1271" width="3.28515625" style="22" customWidth="1"/>
    <col min="1272" max="1272" width="29" style="22" customWidth="1"/>
    <col min="1273" max="1273" width="14" style="22" customWidth="1"/>
    <col min="1274" max="1274" width="11.28515625" style="22" customWidth="1"/>
    <col min="1275" max="1275" width="16.7109375" style="22" customWidth="1"/>
    <col min="1276" max="1276" width="8.85546875" style="22" customWidth="1"/>
    <col min="1277" max="1277" width="29" style="22" customWidth="1"/>
    <col min="1278" max="1526" width="9.140625" style="22"/>
    <col min="1527" max="1527" width="3.28515625" style="22" customWidth="1"/>
    <col min="1528" max="1528" width="29" style="22" customWidth="1"/>
    <col min="1529" max="1529" width="14" style="22" customWidth="1"/>
    <col min="1530" max="1530" width="11.28515625" style="22" customWidth="1"/>
    <col min="1531" max="1531" width="16.7109375" style="22" customWidth="1"/>
    <col min="1532" max="1532" width="8.85546875" style="22" customWidth="1"/>
    <col min="1533" max="1533" width="29" style="22" customWidth="1"/>
    <col min="1534" max="1782" width="9.140625" style="22"/>
    <col min="1783" max="1783" width="3.28515625" style="22" customWidth="1"/>
    <col min="1784" max="1784" width="29" style="22" customWidth="1"/>
    <col min="1785" max="1785" width="14" style="22" customWidth="1"/>
    <col min="1786" max="1786" width="11.28515625" style="22" customWidth="1"/>
    <col min="1787" max="1787" width="16.7109375" style="22" customWidth="1"/>
    <col min="1788" max="1788" width="8.85546875" style="22" customWidth="1"/>
    <col min="1789" max="1789" width="29" style="22" customWidth="1"/>
    <col min="1790" max="2038" width="9.140625" style="22"/>
    <col min="2039" max="2039" width="3.28515625" style="22" customWidth="1"/>
    <col min="2040" max="2040" width="29" style="22" customWidth="1"/>
    <col min="2041" max="2041" width="14" style="22" customWidth="1"/>
    <col min="2042" max="2042" width="11.28515625" style="22" customWidth="1"/>
    <col min="2043" max="2043" width="16.7109375" style="22" customWidth="1"/>
    <col min="2044" max="2044" width="8.85546875" style="22" customWidth="1"/>
    <col min="2045" max="2045" width="29" style="22" customWidth="1"/>
    <col min="2046" max="2294" width="9.140625" style="22"/>
    <col min="2295" max="2295" width="3.28515625" style="22" customWidth="1"/>
    <col min="2296" max="2296" width="29" style="22" customWidth="1"/>
    <col min="2297" max="2297" width="14" style="22" customWidth="1"/>
    <col min="2298" max="2298" width="11.28515625" style="22" customWidth="1"/>
    <col min="2299" max="2299" width="16.7109375" style="22" customWidth="1"/>
    <col min="2300" max="2300" width="8.85546875" style="22" customWidth="1"/>
    <col min="2301" max="2301" width="29" style="22" customWidth="1"/>
    <col min="2302" max="2550" width="9.140625" style="22"/>
    <col min="2551" max="2551" width="3.28515625" style="22" customWidth="1"/>
    <col min="2552" max="2552" width="29" style="22" customWidth="1"/>
    <col min="2553" max="2553" width="14" style="22" customWidth="1"/>
    <col min="2554" max="2554" width="11.28515625" style="22" customWidth="1"/>
    <col min="2555" max="2555" width="16.7109375" style="22" customWidth="1"/>
    <col min="2556" max="2556" width="8.85546875" style="22" customWidth="1"/>
    <col min="2557" max="2557" width="29" style="22" customWidth="1"/>
    <col min="2558" max="2806" width="9.140625" style="22"/>
    <col min="2807" max="2807" width="3.28515625" style="22" customWidth="1"/>
    <col min="2808" max="2808" width="29" style="22" customWidth="1"/>
    <col min="2809" max="2809" width="14" style="22" customWidth="1"/>
    <col min="2810" max="2810" width="11.28515625" style="22" customWidth="1"/>
    <col min="2811" max="2811" width="16.7109375" style="22" customWidth="1"/>
    <col min="2812" max="2812" width="8.85546875" style="22" customWidth="1"/>
    <col min="2813" max="2813" width="29" style="22" customWidth="1"/>
    <col min="2814" max="3062" width="9.140625" style="22"/>
    <col min="3063" max="3063" width="3.28515625" style="22" customWidth="1"/>
    <col min="3064" max="3064" width="29" style="22" customWidth="1"/>
    <col min="3065" max="3065" width="14" style="22" customWidth="1"/>
    <col min="3066" max="3066" width="11.28515625" style="22" customWidth="1"/>
    <col min="3067" max="3067" width="16.7109375" style="22" customWidth="1"/>
    <col min="3068" max="3068" width="8.85546875" style="22" customWidth="1"/>
    <col min="3069" max="3069" width="29" style="22" customWidth="1"/>
    <col min="3070" max="3318" width="9.140625" style="22"/>
    <col min="3319" max="3319" width="3.28515625" style="22" customWidth="1"/>
    <col min="3320" max="3320" width="29" style="22" customWidth="1"/>
    <col min="3321" max="3321" width="14" style="22" customWidth="1"/>
    <col min="3322" max="3322" width="11.28515625" style="22" customWidth="1"/>
    <col min="3323" max="3323" width="16.7109375" style="22" customWidth="1"/>
    <col min="3324" max="3324" width="8.85546875" style="22" customWidth="1"/>
    <col min="3325" max="3325" width="29" style="22" customWidth="1"/>
    <col min="3326" max="3574" width="9.140625" style="22"/>
    <col min="3575" max="3575" width="3.28515625" style="22" customWidth="1"/>
    <col min="3576" max="3576" width="29" style="22" customWidth="1"/>
    <col min="3577" max="3577" width="14" style="22" customWidth="1"/>
    <col min="3578" max="3578" width="11.28515625" style="22" customWidth="1"/>
    <col min="3579" max="3579" width="16.7109375" style="22" customWidth="1"/>
    <col min="3580" max="3580" width="8.85546875" style="22" customWidth="1"/>
    <col min="3581" max="3581" width="29" style="22" customWidth="1"/>
    <col min="3582" max="3830" width="9.140625" style="22"/>
    <col min="3831" max="3831" width="3.28515625" style="22" customWidth="1"/>
    <col min="3832" max="3832" width="29" style="22" customWidth="1"/>
    <col min="3833" max="3833" width="14" style="22" customWidth="1"/>
    <col min="3834" max="3834" width="11.28515625" style="22" customWidth="1"/>
    <col min="3835" max="3835" width="16.7109375" style="22" customWidth="1"/>
    <col min="3836" max="3836" width="8.85546875" style="22" customWidth="1"/>
    <col min="3837" max="3837" width="29" style="22" customWidth="1"/>
    <col min="3838" max="4086" width="9.140625" style="22"/>
    <col min="4087" max="4087" width="3.28515625" style="22" customWidth="1"/>
    <col min="4088" max="4088" width="29" style="22" customWidth="1"/>
    <col min="4089" max="4089" width="14" style="22" customWidth="1"/>
    <col min="4090" max="4090" width="11.28515625" style="22" customWidth="1"/>
    <col min="4091" max="4091" width="16.7109375" style="22" customWidth="1"/>
    <col min="4092" max="4092" width="8.85546875" style="22" customWidth="1"/>
    <col min="4093" max="4093" width="29" style="22" customWidth="1"/>
    <col min="4094" max="4342" width="9.140625" style="22"/>
    <col min="4343" max="4343" width="3.28515625" style="22" customWidth="1"/>
    <col min="4344" max="4344" width="29" style="22" customWidth="1"/>
    <col min="4345" max="4345" width="14" style="22" customWidth="1"/>
    <col min="4346" max="4346" width="11.28515625" style="22" customWidth="1"/>
    <col min="4347" max="4347" width="16.7109375" style="22" customWidth="1"/>
    <col min="4348" max="4348" width="8.85546875" style="22" customWidth="1"/>
    <col min="4349" max="4349" width="29" style="22" customWidth="1"/>
    <col min="4350" max="4598" width="9.140625" style="22"/>
    <col min="4599" max="4599" width="3.28515625" style="22" customWidth="1"/>
    <col min="4600" max="4600" width="29" style="22" customWidth="1"/>
    <col min="4601" max="4601" width="14" style="22" customWidth="1"/>
    <col min="4602" max="4602" width="11.28515625" style="22" customWidth="1"/>
    <col min="4603" max="4603" width="16.7109375" style="22" customWidth="1"/>
    <col min="4604" max="4604" width="8.85546875" style="22" customWidth="1"/>
    <col min="4605" max="4605" width="29" style="22" customWidth="1"/>
    <col min="4606" max="4854" width="9.140625" style="22"/>
    <col min="4855" max="4855" width="3.28515625" style="22" customWidth="1"/>
    <col min="4856" max="4856" width="29" style="22" customWidth="1"/>
    <col min="4857" max="4857" width="14" style="22" customWidth="1"/>
    <col min="4858" max="4858" width="11.28515625" style="22" customWidth="1"/>
    <col min="4859" max="4859" width="16.7109375" style="22" customWidth="1"/>
    <col min="4860" max="4860" width="8.85546875" style="22" customWidth="1"/>
    <col min="4861" max="4861" width="29" style="22" customWidth="1"/>
    <col min="4862" max="5110" width="9.140625" style="22"/>
    <col min="5111" max="5111" width="3.28515625" style="22" customWidth="1"/>
    <col min="5112" max="5112" width="29" style="22" customWidth="1"/>
    <col min="5113" max="5113" width="14" style="22" customWidth="1"/>
    <col min="5114" max="5114" width="11.28515625" style="22" customWidth="1"/>
    <col min="5115" max="5115" width="16.7109375" style="22" customWidth="1"/>
    <col min="5116" max="5116" width="8.85546875" style="22" customWidth="1"/>
    <col min="5117" max="5117" width="29" style="22" customWidth="1"/>
    <col min="5118" max="5366" width="9.140625" style="22"/>
    <col min="5367" max="5367" width="3.28515625" style="22" customWidth="1"/>
    <col min="5368" max="5368" width="29" style="22" customWidth="1"/>
    <col min="5369" max="5369" width="14" style="22" customWidth="1"/>
    <col min="5370" max="5370" width="11.28515625" style="22" customWidth="1"/>
    <col min="5371" max="5371" width="16.7109375" style="22" customWidth="1"/>
    <col min="5372" max="5372" width="8.85546875" style="22" customWidth="1"/>
    <col min="5373" max="5373" width="29" style="22" customWidth="1"/>
    <col min="5374" max="5622" width="9.140625" style="22"/>
    <col min="5623" max="5623" width="3.28515625" style="22" customWidth="1"/>
    <col min="5624" max="5624" width="29" style="22" customWidth="1"/>
    <col min="5625" max="5625" width="14" style="22" customWidth="1"/>
    <col min="5626" max="5626" width="11.28515625" style="22" customWidth="1"/>
    <col min="5627" max="5627" width="16.7109375" style="22" customWidth="1"/>
    <col min="5628" max="5628" width="8.85546875" style="22" customWidth="1"/>
    <col min="5629" max="5629" width="29" style="22" customWidth="1"/>
    <col min="5630" max="5878" width="9.140625" style="22"/>
    <col min="5879" max="5879" width="3.28515625" style="22" customWidth="1"/>
    <col min="5880" max="5880" width="29" style="22" customWidth="1"/>
    <col min="5881" max="5881" width="14" style="22" customWidth="1"/>
    <col min="5882" max="5882" width="11.28515625" style="22" customWidth="1"/>
    <col min="5883" max="5883" width="16.7109375" style="22" customWidth="1"/>
    <col min="5884" max="5884" width="8.85546875" style="22" customWidth="1"/>
    <col min="5885" max="5885" width="29" style="22" customWidth="1"/>
    <col min="5886" max="6134" width="9.140625" style="22"/>
    <col min="6135" max="6135" width="3.28515625" style="22" customWidth="1"/>
    <col min="6136" max="6136" width="29" style="22" customWidth="1"/>
    <col min="6137" max="6137" width="14" style="22" customWidth="1"/>
    <col min="6138" max="6138" width="11.28515625" style="22" customWidth="1"/>
    <col min="6139" max="6139" width="16.7109375" style="22" customWidth="1"/>
    <col min="6140" max="6140" width="8.85546875" style="22" customWidth="1"/>
    <col min="6141" max="6141" width="29" style="22" customWidth="1"/>
    <col min="6142" max="6390" width="9.140625" style="22"/>
    <col min="6391" max="6391" width="3.28515625" style="22" customWidth="1"/>
    <col min="6392" max="6392" width="29" style="22" customWidth="1"/>
    <col min="6393" max="6393" width="14" style="22" customWidth="1"/>
    <col min="6394" max="6394" width="11.28515625" style="22" customWidth="1"/>
    <col min="6395" max="6395" width="16.7109375" style="22" customWidth="1"/>
    <col min="6396" max="6396" width="8.85546875" style="22" customWidth="1"/>
    <col min="6397" max="6397" width="29" style="22" customWidth="1"/>
    <col min="6398" max="6646" width="9.140625" style="22"/>
    <col min="6647" max="6647" width="3.28515625" style="22" customWidth="1"/>
    <col min="6648" max="6648" width="29" style="22" customWidth="1"/>
    <col min="6649" max="6649" width="14" style="22" customWidth="1"/>
    <col min="6650" max="6650" width="11.28515625" style="22" customWidth="1"/>
    <col min="6651" max="6651" width="16.7109375" style="22" customWidth="1"/>
    <col min="6652" max="6652" width="8.85546875" style="22" customWidth="1"/>
    <col min="6653" max="6653" width="29" style="22" customWidth="1"/>
    <col min="6654" max="6902" width="9.140625" style="22"/>
    <col min="6903" max="6903" width="3.28515625" style="22" customWidth="1"/>
    <col min="6904" max="6904" width="29" style="22" customWidth="1"/>
    <col min="6905" max="6905" width="14" style="22" customWidth="1"/>
    <col min="6906" max="6906" width="11.28515625" style="22" customWidth="1"/>
    <col min="6907" max="6907" width="16.7109375" style="22" customWidth="1"/>
    <col min="6908" max="6908" width="8.85546875" style="22" customWidth="1"/>
    <col min="6909" max="6909" width="29" style="22" customWidth="1"/>
    <col min="6910" max="7158" width="9.140625" style="22"/>
    <col min="7159" max="7159" width="3.28515625" style="22" customWidth="1"/>
    <col min="7160" max="7160" width="29" style="22" customWidth="1"/>
    <col min="7161" max="7161" width="14" style="22" customWidth="1"/>
    <col min="7162" max="7162" width="11.28515625" style="22" customWidth="1"/>
    <col min="7163" max="7163" width="16.7109375" style="22" customWidth="1"/>
    <col min="7164" max="7164" width="8.85546875" style="22" customWidth="1"/>
    <col min="7165" max="7165" width="29" style="22" customWidth="1"/>
    <col min="7166" max="7414" width="9.140625" style="22"/>
    <col min="7415" max="7415" width="3.28515625" style="22" customWidth="1"/>
    <col min="7416" max="7416" width="29" style="22" customWidth="1"/>
    <col min="7417" max="7417" width="14" style="22" customWidth="1"/>
    <col min="7418" max="7418" width="11.28515625" style="22" customWidth="1"/>
    <col min="7419" max="7419" width="16.7109375" style="22" customWidth="1"/>
    <col min="7420" max="7420" width="8.85546875" style="22" customWidth="1"/>
    <col min="7421" max="7421" width="29" style="22" customWidth="1"/>
    <col min="7422" max="7670" width="9.140625" style="22"/>
    <col min="7671" max="7671" width="3.28515625" style="22" customWidth="1"/>
    <col min="7672" max="7672" width="29" style="22" customWidth="1"/>
    <col min="7673" max="7673" width="14" style="22" customWidth="1"/>
    <col min="7674" max="7674" width="11.28515625" style="22" customWidth="1"/>
    <col min="7675" max="7675" width="16.7109375" style="22" customWidth="1"/>
    <col min="7676" max="7676" width="8.85546875" style="22" customWidth="1"/>
    <col min="7677" max="7677" width="29" style="22" customWidth="1"/>
    <col min="7678" max="7926" width="9.140625" style="22"/>
    <col min="7927" max="7927" width="3.28515625" style="22" customWidth="1"/>
    <col min="7928" max="7928" width="29" style="22" customWidth="1"/>
    <col min="7929" max="7929" width="14" style="22" customWidth="1"/>
    <col min="7930" max="7930" width="11.28515625" style="22" customWidth="1"/>
    <col min="7931" max="7931" width="16.7109375" style="22" customWidth="1"/>
    <col min="7932" max="7932" width="8.85546875" style="22" customWidth="1"/>
    <col min="7933" max="7933" width="29" style="22" customWidth="1"/>
    <col min="7934" max="8182" width="9.140625" style="22"/>
    <col min="8183" max="8183" width="3.28515625" style="22" customWidth="1"/>
    <col min="8184" max="8184" width="29" style="22" customWidth="1"/>
    <col min="8185" max="8185" width="14" style="22" customWidth="1"/>
    <col min="8186" max="8186" width="11.28515625" style="22" customWidth="1"/>
    <col min="8187" max="8187" width="16.7109375" style="22" customWidth="1"/>
    <col min="8188" max="8188" width="8.85546875" style="22" customWidth="1"/>
    <col min="8189" max="8189" width="29" style="22" customWidth="1"/>
    <col min="8190" max="8438" width="9.140625" style="22"/>
    <col min="8439" max="8439" width="3.28515625" style="22" customWidth="1"/>
    <col min="8440" max="8440" width="29" style="22" customWidth="1"/>
    <col min="8441" max="8441" width="14" style="22" customWidth="1"/>
    <col min="8442" max="8442" width="11.28515625" style="22" customWidth="1"/>
    <col min="8443" max="8443" width="16.7109375" style="22" customWidth="1"/>
    <col min="8444" max="8444" width="8.85546875" style="22" customWidth="1"/>
    <col min="8445" max="8445" width="29" style="22" customWidth="1"/>
    <col min="8446" max="8694" width="9.140625" style="22"/>
    <col min="8695" max="8695" width="3.28515625" style="22" customWidth="1"/>
    <col min="8696" max="8696" width="29" style="22" customWidth="1"/>
    <col min="8697" max="8697" width="14" style="22" customWidth="1"/>
    <col min="8698" max="8698" width="11.28515625" style="22" customWidth="1"/>
    <col min="8699" max="8699" width="16.7109375" style="22" customWidth="1"/>
    <col min="8700" max="8700" width="8.85546875" style="22" customWidth="1"/>
    <col min="8701" max="8701" width="29" style="22" customWidth="1"/>
    <col min="8702" max="8950" width="9.140625" style="22"/>
    <col min="8951" max="8951" width="3.28515625" style="22" customWidth="1"/>
    <col min="8952" max="8952" width="29" style="22" customWidth="1"/>
    <col min="8953" max="8953" width="14" style="22" customWidth="1"/>
    <col min="8954" max="8954" width="11.28515625" style="22" customWidth="1"/>
    <col min="8955" max="8955" width="16.7109375" style="22" customWidth="1"/>
    <col min="8956" max="8956" width="8.85546875" style="22" customWidth="1"/>
    <col min="8957" max="8957" width="29" style="22" customWidth="1"/>
    <col min="8958" max="9206" width="9.140625" style="22"/>
    <col min="9207" max="9207" width="3.28515625" style="22" customWidth="1"/>
    <col min="9208" max="9208" width="29" style="22" customWidth="1"/>
    <col min="9209" max="9209" width="14" style="22" customWidth="1"/>
    <col min="9210" max="9210" width="11.28515625" style="22" customWidth="1"/>
    <col min="9211" max="9211" width="16.7109375" style="22" customWidth="1"/>
    <col min="9212" max="9212" width="8.85546875" style="22" customWidth="1"/>
    <col min="9213" max="9213" width="29" style="22" customWidth="1"/>
    <col min="9214" max="9462" width="9.140625" style="22"/>
    <col min="9463" max="9463" width="3.28515625" style="22" customWidth="1"/>
    <col min="9464" max="9464" width="29" style="22" customWidth="1"/>
    <col min="9465" max="9465" width="14" style="22" customWidth="1"/>
    <col min="9466" max="9466" width="11.28515625" style="22" customWidth="1"/>
    <col min="9467" max="9467" width="16.7109375" style="22" customWidth="1"/>
    <col min="9468" max="9468" width="8.85546875" style="22" customWidth="1"/>
    <col min="9469" max="9469" width="29" style="22" customWidth="1"/>
    <col min="9470" max="9718" width="9.140625" style="22"/>
    <col min="9719" max="9719" width="3.28515625" style="22" customWidth="1"/>
    <col min="9720" max="9720" width="29" style="22" customWidth="1"/>
    <col min="9721" max="9721" width="14" style="22" customWidth="1"/>
    <col min="9722" max="9722" width="11.28515625" style="22" customWidth="1"/>
    <col min="9723" max="9723" width="16.7109375" style="22" customWidth="1"/>
    <col min="9724" max="9724" width="8.85546875" style="22" customWidth="1"/>
    <col min="9725" max="9725" width="29" style="22" customWidth="1"/>
    <col min="9726" max="9974" width="9.140625" style="22"/>
    <col min="9975" max="9975" width="3.28515625" style="22" customWidth="1"/>
    <col min="9976" max="9976" width="29" style="22" customWidth="1"/>
    <col min="9977" max="9977" width="14" style="22" customWidth="1"/>
    <col min="9978" max="9978" width="11.28515625" style="22" customWidth="1"/>
    <col min="9979" max="9979" width="16.7109375" style="22" customWidth="1"/>
    <col min="9980" max="9980" width="8.85546875" style="22" customWidth="1"/>
    <col min="9981" max="9981" width="29" style="22" customWidth="1"/>
    <col min="9982" max="10230" width="9.140625" style="22"/>
    <col min="10231" max="10231" width="3.28515625" style="22" customWidth="1"/>
    <col min="10232" max="10232" width="29" style="22" customWidth="1"/>
    <col min="10233" max="10233" width="14" style="22" customWidth="1"/>
    <col min="10234" max="10234" width="11.28515625" style="22" customWidth="1"/>
    <col min="10235" max="10235" width="16.7109375" style="22" customWidth="1"/>
    <col min="10236" max="10236" width="8.85546875" style="22" customWidth="1"/>
    <col min="10237" max="10237" width="29" style="22" customWidth="1"/>
    <col min="10238" max="10486" width="9.140625" style="22"/>
    <col min="10487" max="10487" width="3.28515625" style="22" customWidth="1"/>
    <col min="10488" max="10488" width="29" style="22" customWidth="1"/>
    <col min="10489" max="10489" width="14" style="22" customWidth="1"/>
    <col min="10490" max="10490" width="11.28515625" style="22" customWidth="1"/>
    <col min="10491" max="10491" width="16.7109375" style="22" customWidth="1"/>
    <col min="10492" max="10492" width="8.85546875" style="22" customWidth="1"/>
    <col min="10493" max="10493" width="29" style="22" customWidth="1"/>
    <col min="10494" max="10742" width="9.140625" style="22"/>
    <col min="10743" max="10743" width="3.28515625" style="22" customWidth="1"/>
    <col min="10744" max="10744" width="29" style="22" customWidth="1"/>
    <col min="10745" max="10745" width="14" style="22" customWidth="1"/>
    <col min="10746" max="10746" width="11.28515625" style="22" customWidth="1"/>
    <col min="10747" max="10747" width="16.7109375" style="22" customWidth="1"/>
    <col min="10748" max="10748" width="8.85546875" style="22" customWidth="1"/>
    <col min="10749" max="10749" width="29" style="22" customWidth="1"/>
    <col min="10750" max="10998" width="9.140625" style="22"/>
    <col min="10999" max="10999" width="3.28515625" style="22" customWidth="1"/>
    <col min="11000" max="11000" width="29" style="22" customWidth="1"/>
    <col min="11001" max="11001" width="14" style="22" customWidth="1"/>
    <col min="11002" max="11002" width="11.28515625" style="22" customWidth="1"/>
    <col min="11003" max="11003" width="16.7109375" style="22" customWidth="1"/>
    <col min="11004" max="11004" width="8.85546875" style="22" customWidth="1"/>
    <col min="11005" max="11005" width="29" style="22" customWidth="1"/>
    <col min="11006" max="11254" width="9.140625" style="22"/>
    <col min="11255" max="11255" width="3.28515625" style="22" customWidth="1"/>
    <col min="11256" max="11256" width="29" style="22" customWidth="1"/>
    <col min="11257" max="11257" width="14" style="22" customWidth="1"/>
    <col min="11258" max="11258" width="11.28515625" style="22" customWidth="1"/>
    <col min="11259" max="11259" width="16.7109375" style="22" customWidth="1"/>
    <col min="11260" max="11260" width="8.85546875" style="22" customWidth="1"/>
    <col min="11261" max="11261" width="29" style="22" customWidth="1"/>
    <col min="11262" max="11510" width="9.140625" style="22"/>
    <col min="11511" max="11511" width="3.28515625" style="22" customWidth="1"/>
    <col min="11512" max="11512" width="29" style="22" customWidth="1"/>
    <col min="11513" max="11513" width="14" style="22" customWidth="1"/>
    <col min="11514" max="11514" width="11.28515625" style="22" customWidth="1"/>
    <col min="11515" max="11515" width="16.7109375" style="22" customWidth="1"/>
    <col min="11516" max="11516" width="8.85546875" style="22" customWidth="1"/>
    <col min="11517" max="11517" width="29" style="22" customWidth="1"/>
    <col min="11518" max="11766" width="9.140625" style="22"/>
    <col min="11767" max="11767" width="3.28515625" style="22" customWidth="1"/>
    <col min="11768" max="11768" width="29" style="22" customWidth="1"/>
    <col min="11769" max="11769" width="14" style="22" customWidth="1"/>
    <col min="11770" max="11770" width="11.28515625" style="22" customWidth="1"/>
    <col min="11771" max="11771" width="16.7109375" style="22" customWidth="1"/>
    <col min="11772" max="11772" width="8.85546875" style="22" customWidth="1"/>
    <col min="11773" max="11773" width="29" style="22" customWidth="1"/>
    <col min="11774" max="12022" width="9.140625" style="22"/>
    <col min="12023" max="12023" width="3.28515625" style="22" customWidth="1"/>
    <col min="12024" max="12024" width="29" style="22" customWidth="1"/>
    <col min="12025" max="12025" width="14" style="22" customWidth="1"/>
    <col min="12026" max="12026" width="11.28515625" style="22" customWidth="1"/>
    <col min="12027" max="12027" width="16.7109375" style="22" customWidth="1"/>
    <col min="12028" max="12028" width="8.85546875" style="22" customWidth="1"/>
    <col min="12029" max="12029" width="29" style="22" customWidth="1"/>
    <col min="12030" max="12278" width="9.140625" style="22"/>
    <col min="12279" max="12279" width="3.28515625" style="22" customWidth="1"/>
    <col min="12280" max="12280" width="29" style="22" customWidth="1"/>
    <col min="12281" max="12281" width="14" style="22" customWidth="1"/>
    <col min="12282" max="12282" width="11.28515625" style="22" customWidth="1"/>
    <col min="12283" max="12283" width="16.7109375" style="22" customWidth="1"/>
    <col min="12284" max="12284" width="8.85546875" style="22" customWidth="1"/>
    <col min="12285" max="12285" width="29" style="22" customWidth="1"/>
    <col min="12286" max="12534" width="9.140625" style="22"/>
    <col min="12535" max="12535" width="3.28515625" style="22" customWidth="1"/>
    <col min="12536" max="12536" width="29" style="22" customWidth="1"/>
    <col min="12537" max="12537" width="14" style="22" customWidth="1"/>
    <col min="12538" max="12538" width="11.28515625" style="22" customWidth="1"/>
    <col min="12539" max="12539" width="16.7109375" style="22" customWidth="1"/>
    <col min="12540" max="12540" width="8.85546875" style="22" customWidth="1"/>
    <col min="12541" max="12541" width="29" style="22" customWidth="1"/>
    <col min="12542" max="12790" width="9.140625" style="22"/>
    <col min="12791" max="12791" width="3.28515625" style="22" customWidth="1"/>
    <col min="12792" max="12792" width="29" style="22" customWidth="1"/>
    <col min="12793" max="12793" width="14" style="22" customWidth="1"/>
    <col min="12794" max="12794" width="11.28515625" style="22" customWidth="1"/>
    <col min="12795" max="12795" width="16.7109375" style="22" customWidth="1"/>
    <col min="12796" max="12796" width="8.85546875" style="22" customWidth="1"/>
    <col min="12797" max="12797" width="29" style="22" customWidth="1"/>
    <col min="12798" max="13046" width="9.140625" style="22"/>
    <col min="13047" max="13047" width="3.28515625" style="22" customWidth="1"/>
    <col min="13048" max="13048" width="29" style="22" customWidth="1"/>
    <col min="13049" max="13049" width="14" style="22" customWidth="1"/>
    <col min="13050" max="13050" width="11.28515625" style="22" customWidth="1"/>
    <col min="13051" max="13051" width="16.7109375" style="22" customWidth="1"/>
    <col min="13052" max="13052" width="8.85546875" style="22" customWidth="1"/>
    <col min="13053" max="13053" width="29" style="22" customWidth="1"/>
    <col min="13054" max="13302" width="9.140625" style="22"/>
    <col min="13303" max="13303" width="3.28515625" style="22" customWidth="1"/>
    <col min="13304" max="13304" width="29" style="22" customWidth="1"/>
    <col min="13305" max="13305" width="14" style="22" customWidth="1"/>
    <col min="13306" max="13306" width="11.28515625" style="22" customWidth="1"/>
    <col min="13307" max="13307" width="16.7109375" style="22" customWidth="1"/>
    <col min="13308" max="13308" width="8.85546875" style="22" customWidth="1"/>
    <col min="13309" max="13309" width="29" style="22" customWidth="1"/>
    <col min="13310" max="13558" width="9.140625" style="22"/>
    <col min="13559" max="13559" width="3.28515625" style="22" customWidth="1"/>
    <col min="13560" max="13560" width="29" style="22" customWidth="1"/>
    <col min="13561" max="13561" width="14" style="22" customWidth="1"/>
    <col min="13562" max="13562" width="11.28515625" style="22" customWidth="1"/>
    <col min="13563" max="13563" width="16.7109375" style="22" customWidth="1"/>
    <col min="13564" max="13564" width="8.85546875" style="22" customWidth="1"/>
    <col min="13565" max="13565" width="29" style="22" customWidth="1"/>
    <col min="13566" max="13814" width="9.140625" style="22"/>
    <col min="13815" max="13815" width="3.28515625" style="22" customWidth="1"/>
    <col min="13816" max="13816" width="29" style="22" customWidth="1"/>
    <col min="13817" max="13817" width="14" style="22" customWidth="1"/>
    <col min="13818" max="13818" width="11.28515625" style="22" customWidth="1"/>
    <col min="13819" max="13819" width="16.7109375" style="22" customWidth="1"/>
    <col min="13820" max="13820" width="8.85546875" style="22" customWidth="1"/>
    <col min="13821" max="13821" width="29" style="22" customWidth="1"/>
    <col min="13822" max="14070" width="9.140625" style="22"/>
    <col min="14071" max="14071" width="3.28515625" style="22" customWidth="1"/>
    <col min="14072" max="14072" width="29" style="22" customWidth="1"/>
    <col min="14073" max="14073" width="14" style="22" customWidth="1"/>
    <col min="14074" max="14074" width="11.28515625" style="22" customWidth="1"/>
    <col min="14075" max="14075" width="16.7109375" style="22" customWidth="1"/>
    <col min="14076" max="14076" width="8.85546875" style="22" customWidth="1"/>
    <col min="14077" max="14077" width="29" style="22" customWidth="1"/>
    <col min="14078" max="14326" width="9.140625" style="22"/>
    <col min="14327" max="14327" width="3.28515625" style="22" customWidth="1"/>
    <col min="14328" max="14328" width="29" style="22" customWidth="1"/>
    <col min="14329" max="14329" width="14" style="22" customWidth="1"/>
    <col min="14330" max="14330" width="11.28515625" style="22" customWidth="1"/>
    <col min="14331" max="14331" width="16.7109375" style="22" customWidth="1"/>
    <col min="14332" max="14332" width="8.85546875" style="22" customWidth="1"/>
    <col min="14333" max="14333" width="29" style="22" customWidth="1"/>
    <col min="14334" max="14582" width="9.140625" style="22"/>
    <col min="14583" max="14583" width="3.28515625" style="22" customWidth="1"/>
    <col min="14584" max="14584" width="29" style="22" customWidth="1"/>
    <col min="14585" max="14585" width="14" style="22" customWidth="1"/>
    <col min="14586" max="14586" width="11.28515625" style="22" customWidth="1"/>
    <col min="14587" max="14587" width="16.7109375" style="22" customWidth="1"/>
    <col min="14588" max="14588" width="8.85546875" style="22" customWidth="1"/>
    <col min="14589" max="14589" width="29" style="22" customWidth="1"/>
    <col min="14590" max="14838" width="9.140625" style="22"/>
    <col min="14839" max="14839" width="3.28515625" style="22" customWidth="1"/>
    <col min="14840" max="14840" width="29" style="22" customWidth="1"/>
    <col min="14841" max="14841" width="14" style="22" customWidth="1"/>
    <col min="14842" max="14842" width="11.28515625" style="22" customWidth="1"/>
    <col min="14843" max="14843" width="16.7109375" style="22" customWidth="1"/>
    <col min="14844" max="14844" width="8.85546875" style="22" customWidth="1"/>
    <col min="14845" max="14845" width="29" style="22" customWidth="1"/>
    <col min="14846" max="15094" width="9.140625" style="22"/>
    <col min="15095" max="15095" width="3.28515625" style="22" customWidth="1"/>
    <col min="15096" max="15096" width="29" style="22" customWidth="1"/>
    <col min="15097" max="15097" width="14" style="22" customWidth="1"/>
    <col min="15098" max="15098" width="11.28515625" style="22" customWidth="1"/>
    <col min="15099" max="15099" width="16.7109375" style="22" customWidth="1"/>
    <col min="15100" max="15100" width="8.85546875" style="22" customWidth="1"/>
    <col min="15101" max="15101" width="29" style="22" customWidth="1"/>
    <col min="15102" max="15350" width="9.140625" style="22"/>
    <col min="15351" max="15351" width="3.28515625" style="22" customWidth="1"/>
    <col min="15352" max="15352" width="29" style="22" customWidth="1"/>
    <col min="15353" max="15353" width="14" style="22" customWidth="1"/>
    <col min="15354" max="15354" width="11.28515625" style="22" customWidth="1"/>
    <col min="15355" max="15355" width="16.7109375" style="22" customWidth="1"/>
    <col min="15356" max="15356" width="8.85546875" style="22" customWidth="1"/>
    <col min="15357" max="15357" width="29" style="22" customWidth="1"/>
    <col min="15358" max="15606" width="9.140625" style="22"/>
    <col min="15607" max="15607" width="3.28515625" style="22" customWidth="1"/>
    <col min="15608" max="15608" width="29" style="22" customWidth="1"/>
    <col min="15609" max="15609" width="14" style="22" customWidth="1"/>
    <col min="15610" max="15610" width="11.28515625" style="22" customWidth="1"/>
    <col min="15611" max="15611" width="16.7109375" style="22" customWidth="1"/>
    <col min="15612" max="15612" width="8.85546875" style="22" customWidth="1"/>
    <col min="15613" max="15613" width="29" style="22" customWidth="1"/>
    <col min="15614" max="15862" width="9.140625" style="22"/>
    <col min="15863" max="15863" width="3.28515625" style="22" customWidth="1"/>
    <col min="15864" max="15864" width="29" style="22" customWidth="1"/>
    <col min="15865" max="15865" width="14" style="22" customWidth="1"/>
    <col min="15866" max="15866" width="11.28515625" style="22" customWidth="1"/>
    <col min="15867" max="15867" width="16.7109375" style="22" customWidth="1"/>
    <col min="15868" max="15868" width="8.85546875" style="22" customWidth="1"/>
    <col min="15869" max="15869" width="29" style="22" customWidth="1"/>
    <col min="15870" max="16118" width="9.140625" style="22"/>
    <col min="16119" max="16119" width="3.28515625" style="22" customWidth="1"/>
    <col min="16120" max="16120" width="29" style="22" customWidth="1"/>
    <col min="16121" max="16121" width="14" style="22" customWidth="1"/>
    <col min="16122" max="16122" width="11.28515625" style="22" customWidth="1"/>
    <col min="16123" max="16123" width="16.7109375" style="22" customWidth="1"/>
    <col min="16124" max="16124" width="8.85546875" style="22" customWidth="1"/>
    <col min="16125" max="16125" width="29" style="22" customWidth="1"/>
    <col min="16126" max="16384" width="9.140625" style="22"/>
  </cols>
  <sheetData>
    <row r="1" spans="1:246" x14ac:dyDescent="0.25">
      <c r="C1" s="209"/>
      <c r="D1" s="209"/>
      <c r="E1" s="209"/>
      <c r="F1" s="209"/>
      <c r="G1" s="209"/>
      <c r="H1" s="209"/>
      <c r="I1" s="209"/>
      <c r="J1" s="209"/>
      <c r="K1" s="246"/>
    </row>
    <row r="2" spans="1:246" ht="23.25" x14ac:dyDescent="0.35">
      <c r="A2" s="210"/>
      <c r="B2" s="210"/>
      <c r="C2" s="401" t="s">
        <v>246</v>
      </c>
      <c r="D2" s="401"/>
      <c r="E2" s="401"/>
      <c r="F2" s="401"/>
      <c r="G2" s="401"/>
      <c r="H2" s="401"/>
      <c r="I2" s="401"/>
      <c r="J2" s="401"/>
      <c r="K2" s="244"/>
    </row>
    <row r="3" spans="1:246" x14ac:dyDescent="0.25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46"/>
    </row>
    <row r="4" spans="1:246" ht="21" customHeight="1" x14ac:dyDescent="0.25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46"/>
    </row>
    <row r="5" spans="1:246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46"/>
      <c r="L5" s="259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  <c r="IL5" s="211"/>
    </row>
    <row r="6" spans="1:246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46"/>
      <c r="L6" s="259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  <c r="IL6" s="211"/>
    </row>
    <row r="7" spans="1:246" x14ac:dyDescent="0.25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46"/>
      <c r="L7" s="260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  <c r="IL7" s="212"/>
    </row>
    <row r="8" spans="1:246" x14ac:dyDescent="0.25">
      <c r="A8" s="209"/>
      <c r="B8" s="209"/>
      <c r="C8" s="209"/>
      <c r="D8" s="209"/>
      <c r="E8" s="209"/>
      <c r="F8" s="209"/>
      <c r="G8" s="209"/>
      <c r="I8" s="209"/>
      <c r="J8" s="209"/>
      <c r="K8" s="246"/>
    </row>
    <row r="9" spans="1:246" ht="15.75" customHeight="1" x14ac:dyDescent="0.25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45"/>
    </row>
    <row r="10" spans="1:246" ht="15.75" customHeight="1" x14ac:dyDescent="0.25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45"/>
    </row>
    <row r="11" spans="1:246" ht="15" customHeight="1" x14ac:dyDescent="0.25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46"/>
    </row>
    <row r="12" spans="1:246" ht="16.5" customHeight="1" x14ac:dyDescent="0.25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46"/>
    </row>
    <row r="13" spans="1:246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6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6" ht="44.25" customHeight="1" x14ac:dyDescent="0.25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46"/>
    </row>
    <row r="16" spans="1:246" ht="66" customHeight="1" x14ac:dyDescent="0.25">
      <c r="A16" s="399" t="s">
        <v>280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47"/>
    </row>
    <row r="17" spans="1:255" ht="66" customHeight="1" x14ac:dyDescent="0.25">
      <c r="A17" s="399" t="s">
        <v>272</v>
      </c>
      <c r="B17" s="399"/>
      <c r="C17" s="399"/>
      <c r="D17" s="399"/>
      <c r="E17" s="399"/>
      <c r="F17" s="399"/>
      <c r="G17" s="399"/>
      <c r="H17" s="399"/>
      <c r="I17" s="399"/>
      <c r="J17" s="399"/>
      <c r="K17" s="247"/>
    </row>
    <row r="18" spans="1:255" ht="4.5" customHeight="1" x14ac:dyDescent="0.2">
      <c r="A18" s="372"/>
      <c r="B18" s="372"/>
      <c r="C18" s="372"/>
      <c r="D18" s="372"/>
      <c r="E18" s="372"/>
      <c r="F18" s="372"/>
      <c r="G18" s="210"/>
      <c r="H18" s="399"/>
      <c r="I18" s="399"/>
      <c r="J18" s="399"/>
      <c r="K18" s="399"/>
    </row>
    <row r="19" spans="1:255" s="215" customFormat="1" ht="45" x14ac:dyDescent="0.25">
      <c r="A19" s="241" t="s">
        <v>275</v>
      </c>
      <c r="B19" s="214" t="s">
        <v>70</v>
      </c>
      <c r="C19" s="108" t="s">
        <v>133</v>
      </c>
      <c r="D19" s="109" t="s">
        <v>82</v>
      </c>
      <c r="E19" s="109" t="s">
        <v>255</v>
      </c>
      <c r="F19" s="109" t="s">
        <v>256</v>
      </c>
      <c r="G19" s="109" t="s">
        <v>257</v>
      </c>
      <c r="H19" s="109" t="s">
        <v>129</v>
      </c>
      <c r="I19" s="109" t="s">
        <v>130</v>
      </c>
      <c r="J19" s="109" t="s">
        <v>258</v>
      </c>
      <c r="K19" s="248"/>
      <c r="L19" s="261"/>
    </row>
    <row r="20" spans="1:255" s="220" customFormat="1" ht="76.5" x14ac:dyDescent="0.2">
      <c r="A20" s="396">
        <v>1</v>
      </c>
      <c r="B20" s="216">
        <v>1</v>
      </c>
      <c r="C20" s="140" t="s">
        <v>304</v>
      </c>
      <c r="D20" s="140" t="s">
        <v>278</v>
      </c>
      <c r="E20" s="217">
        <v>10</v>
      </c>
      <c r="F20" s="218">
        <f>E20*2</f>
        <v>20</v>
      </c>
      <c r="G20" s="219">
        <f ca="1">'1-DD'!C131</f>
        <v>7515.6509975338686</v>
      </c>
      <c r="H20" s="219">
        <f t="shared" ref="H20:H26" ca="1" si="0">G20*2</f>
        <v>15031.301995067737</v>
      </c>
      <c r="I20" s="219">
        <f t="shared" ref="I20:I26" ca="1" si="1">H20*E20</f>
        <v>150313.01995067738</v>
      </c>
      <c r="J20" s="219">
        <f t="shared" ref="J20:J26" ca="1" si="2">I20*12</f>
        <v>1803756.2394081284</v>
      </c>
      <c r="K20" s="265">
        <f ca="1">J20/E20</f>
        <v>180375.62394081283</v>
      </c>
      <c r="L20" s="262">
        <v>1</v>
      </c>
    </row>
    <row r="21" spans="1:255" s="220" customFormat="1" ht="25.5" x14ac:dyDescent="0.2">
      <c r="A21" s="397"/>
      <c r="B21" s="216">
        <v>2</v>
      </c>
      <c r="C21" s="140" t="s">
        <v>305</v>
      </c>
      <c r="D21" s="140" t="s">
        <v>85</v>
      </c>
      <c r="E21" s="217">
        <v>2</v>
      </c>
      <c r="F21" s="218">
        <f t="shared" ref="F21:F26" si="3">E21*2</f>
        <v>4</v>
      </c>
      <c r="G21" s="219">
        <f ca="1">'2-DDM '!C131</f>
        <v>8517.7158971606732</v>
      </c>
      <c r="H21" s="219">
        <f t="shared" ca="1" si="0"/>
        <v>17035.431794321346</v>
      </c>
      <c r="I21" s="219">
        <f t="shared" ca="1" si="1"/>
        <v>34070.863588642693</v>
      </c>
      <c r="J21" s="219">
        <f t="shared" ca="1" si="2"/>
        <v>408850.36306371231</v>
      </c>
      <c r="K21" s="265">
        <f t="shared" ref="K21:K26" ca="1" si="4">J21/E21</f>
        <v>204425.18153185616</v>
      </c>
      <c r="L21" s="262">
        <v>2</v>
      </c>
    </row>
    <row r="22" spans="1:255" s="220" customFormat="1" ht="25.5" x14ac:dyDescent="0.2">
      <c r="A22" s="397"/>
      <c r="B22" s="216">
        <v>3</v>
      </c>
      <c r="C22" s="140" t="s">
        <v>306</v>
      </c>
      <c r="D22" s="140" t="s">
        <v>84</v>
      </c>
      <c r="E22" s="217">
        <v>1</v>
      </c>
      <c r="F22" s="218">
        <f t="shared" si="3"/>
        <v>2</v>
      </c>
      <c r="G22" s="219">
        <f ca="1">'3-DDMon'!C131</f>
        <v>7515.6509975338686</v>
      </c>
      <c r="H22" s="219">
        <f t="shared" ca="1" si="0"/>
        <v>15031.301995067737</v>
      </c>
      <c r="I22" s="219">
        <f t="shared" ca="1" si="1"/>
        <v>15031.301995067737</v>
      </c>
      <c r="J22" s="219">
        <f t="shared" ca="1" si="2"/>
        <v>180375.62394081283</v>
      </c>
      <c r="K22" s="265">
        <f t="shared" ca="1" si="4"/>
        <v>180375.62394081283</v>
      </c>
      <c r="L22" s="262">
        <v>3</v>
      </c>
    </row>
    <row r="23" spans="1:255" s="220" customFormat="1" ht="25.5" x14ac:dyDescent="0.2">
      <c r="A23" s="397"/>
      <c r="B23" s="216">
        <v>4</v>
      </c>
      <c r="C23" s="140" t="s">
        <v>307</v>
      </c>
      <c r="D23" s="140" t="s">
        <v>85</v>
      </c>
      <c r="E23" s="217">
        <v>10</v>
      </c>
      <c r="F23" s="218">
        <f t="shared" si="3"/>
        <v>20</v>
      </c>
      <c r="G23" s="219">
        <f ca="1">'4-AN'!C131</f>
        <v>8254.7283398611526</v>
      </c>
      <c r="H23" s="219">
        <f t="shared" ca="1" si="0"/>
        <v>16509.456679722305</v>
      </c>
      <c r="I23" s="219">
        <f t="shared" ca="1" si="1"/>
        <v>165094.56679722306</v>
      </c>
      <c r="J23" s="219">
        <f t="shared" ca="1" si="2"/>
        <v>1981134.8015666767</v>
      </c>
      <c r="K23" s="265">
        <f t="shared" ca="1" si="4"/>
        <v>198113.48015666768</v>
      </c>
      <c r="L23" s="262">
        <v>4</v>
      </c>
    </row>
    <row r="24" spans="1:255" s="220" customFormat="1" ht="25.5" x14ac:dyDescent="0.2">
      <c r="A24" s="397"/>
      <c r="B24" s="216">
        <v>5</v>
      </c>
      <c r="C24" s="140" t="s">
        <v>308</v>
      </c>
      <c r="D24" s="140" t="s">
        <v>84</v>
      </c>
      <c r="E24" s="217">
        <v>2</v>
      </c>
      <c r="F24" s="218">
        <f t="shared" si="3"/>
        <v>4</v>
      </c>
      <c r="G24" s="219">
        <f ca="1">'5-AD'!C131</f>
        <v>7527.3062611718906</v>
      </c>
      <c r="H24" s="219">
        <f t="shared" ca="1" si="0"/>
        <v>15054.612522343781</v>
      </c>
      <c r="I24" s="219">
        <f t="shared" ca="1" si="1"/>
        <v>30109.225044687562</v>
      </c>
      <c r="J24" s="219">
        <f t="shared" ca="1" si="2"/>
        <v>361310.70053625072</v>
      </c>
      <c r="K24" s="265">
        <f t="shared" ca="1" si="4"/>
        <v>180655.35026812536</v>
      </c>
      <c r="L24" s="262">
        <v>5</v>
      </c>
    </row>
    <row r="25" spans="1:255" s="220" customFormat="1" ht="63.75" x14ac:dyDescent="0.2">
      <c r="A25" s="397"/>
      <c r="B25" s="216">
        <v>6</v>
      </c>
      <c r="C25" s="140" t="s">
        <v>309</v>
      </c>
      <c r="D25" s="140" t="s">
        <v>279</v>
      </c>
      <c r="E25" s="217">
        <v>2</v>
      </c>
      <c r="F25" s="218">
        <f t="shared" si="3"/>
        <v>4</v>
      </c>
      <c r="G25" s="219">
        <f ca="1">'6-ANM'!C131</f>
        <v>9343.3638101741108</v>
      </c>
      <c r="H25" s="219">
        <f ca="1">G25*2</f>
        <v>18686.727620348222</v>
      </c>
      <c r="I25" s="219">
        <f ca="1">H25*E25</f>
        <v>37373.455240696443</v>
      </c>
      <c r="J25" s="219">
        <f ca="1">I25*12</f>
        <v>448481.46288835735</v>
      </c>
      <c r="K25" s="265">
        <f ca="1">J25/E25</f>
        <v>224240.73144417867</v>
      </c>
      <c r="L25" s="262">
        <v>6</v>
      </c>
    </row>
    <row r="26" spans="1:255" s="220" customFormat="1" ht="63.75" x14ac:dyDescent="0.2">
      <c r="A26" s="397"/>
      <c r="B26" s="216">
        <v>7</v>
      </c>
      <c r="C26" s="140" t="s">
        <v>310</v>
      </c>
      <c r="D26" s="140" t="s">
        <v>279</v>
      </c>
      <c r="E26" s="217">
        <v>1</v>
      </c>
      <c r="F26" s="218">
        <f t="shared" si="3"/>
        <v>2</v>
      </c>
      <c r="G26" s="219">
        <f ca="1">'7-ADM '!C131</f>
        <v>8542.0102597222703</v>
      </c>
      <c r="H26" s="219">
        <f t="shared" ca="1" si="0"/>
        <v>17084.020519444541</v>
      </c>
      <c r="I26" s="219">
        <f t="shared" ca="1" si="1"/>
        <v>17084.020519444541</v>
      </c>
      <c r="J26" s="219">
        <f t="shared" ca="1" si="2"/>
        <v>205008.24623333447</v>
      </c>
      <c r="K26" s="265">
        <f t="shared" ca="1" si="4"/>
        <v>205008.24623333447</v>
      </c>
      <c r="L26" s="262">
        <v>6</v>
      </c>
    </row>
    <row r="27" spans="1:255" s="215" customFormat="1" ht="15.75" customHeight="1" x14ac:dyDescent="0.2">
      <c r="A27" s="383" t="s">
        <v>259</v>
      </c>
      <c r="B27" s="384"/>
      <c r="C27" s="384"/>
      <c r="D27" s="384"/>
      <c r="E27" s="221">
        <f>SUM(E20:E26)</f>
        <v>28</v>
      </c>
      <c r="F27" s="222">
        <f>SUM(F20:F26)</f>
        <v>56</v>
      </c>
      <c r="G27" s="223"/>
      <c r="H27" s="224"/>
      <c r="I27" s="224">
        <f ca="1">SUM(I20:I26)</f>
        <v>449076.45313643944</v>
      </c>
      <c r="J27" s="224">
        <f ca="1">SUM(J20:J26)</f>
        <v>5388917.4376372732</v>
      </c>
      <c r="K27" s="256"/>
      <c r="L27" s="261"/>
    </row>
    <row r="28" spans="1:255" s="215" customFormat="1" ht="15" customHeight="1" x14ac:dyDescent="0.2">
      <c r="A28" s="385"/>
      <c r="B28" s="386"/>
      <c r="C28" s="386"/>
      <c r="D28" s="386"/>
      <c r="E28" s="386"/>
      <c r="F28" s="386"/>
      <c r="G28" s="386"/>
      <c r="H28" s="386"/>
      <c r="I28" s="386"/>
      <c r="J28" s="386"/>
      <c r="K28" s="249"/>
      <c r="L28" s="263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  <c r="DM28" s="225"/>
      <c r="DN28" s="225"/>
      <c r="DO28" s="225"/>
      <c r="DP28" s="225"/>
      <c r="DQ28" s="225"/>
      <c r="DR28" s="225"/>
      <c r="DS28" s="225"/>
      <c r="DT28" s="225"/>
      <c r="DU28" s="225"/>
      <c r="DV28" s="225"/>
      <c r="DW28" s="225"/>
      <c r="DX28" s="225"/>
      <c r="DY28" s="225"/>
      <c r="DZ28" s="225"/>
      <c r="EA28" s="225"/>
      <c r="EB28" s="225"/>
      <c r="EC28" s="225"/>
      <c r="ED28" s="225"/>
      <c r="EE28" s="225"/>
      <c r="EF28" s="225"/>
      <c r="EG28" s="225"/>
      <c r="EH28" s="225"/>
      <c r="EI28" s="225"/>
      <c r="EJ28" s="225"/>
      <c r="EK28" s="225"/>
      <c r="EL28" s="225"/>
      <c r="EM28" s="225"/>
      <c r="EN28" s="225"/>
      <c r="EO28" s="225"/>
      <c r="EP28" s="225"/>
      <c r="EQ28" s="225"/>
      <c r="ER28" s="225"/>
      <c r="ES28" s="225"/>
      <c r="ET28" s="225"/>
      <c r="EU28" s="225"/>
      <c r="EV28" s="225"/>
      <c r="EW28" s="225"/>
      <c r="EX28" s="225"/>
      <c r="EY28" s="225"/>
      <c r="EZ28" s="225"/>
      <c r="FA28" s="225"/>
      <c r="FB28" s="225"/>
      <c r="FC28" s="225"/>
      <c r="FD28" s="225"/>
      <c r="FE28" s="225"/>
      <c r="FF28" s="225"/>
      <c r="FG28" s="225"/>
      <c r="FH28" s="225"/>
      <c r="FI28" s="225"/>
      <c r="FJ28" s="225"/>
      <c r="FK28" s="225"/>
      <c r="FL28" s="225"/>
      <c r="FM28" s="225"/>
      <c r="FN28" s="225"/>
      <c r="FO28" s="225"/>
      <c r="FP28" s="225"/>
      <c r="FQ28" s="225"/>
      <c r="FR28" s="225"/>
      <c r="FS28" s="225"/>
      <c r="FT28" s="225"/>
      <c r="FU28" s="225"/>
      <c r="FV28" s="225"/>
      <c r="FW28" s="225"/>
      <c r="FX28" s="225"/>
      <c r="FY28" s="225"/>
      <c r="FZ28" s="225"/>
      <c r="GA28" s="225"/>
      <c r="GB28" s="225"/>
      <c r="GC28" s="225"/>
      <c r="GD28" s="225"/>
      <c r="GE28" s="225"/>
      <c r="GF28" s="225"/>
      <c r="GG28" s="225"/>
      <c r="GH28" s="225"/>
      <c r="GI28" s="225"/>
      <c r="GJ28" s="225"/>
      <c r="GK28" s="225"/>
      <c r="GL28" s="225"/>
      <c r="GM28" s="225"/>
      <c r="GN28" s="225"/>
      <c r="GO28" s="225"/>
      <c r="GP28" s="225"/>
      <c r="GQ28" s="225"/>
      <c r="GR28" s="225"/>
      <c r="GS28" s="225"/>
      <c r="GT28" s="225"/>
      <c r="GU28" s="225"/>
      <c r="GV28" s="225"/>
      <c r="GW28" s="225"/>
      <c r="GX28" s="225"/>
      <c r="GY28" s="225"/>
      <c r="GZ28" s="225"/>
      <c r="HA28" s="225"/>
      <c r="HB28" s="225"/>
      <c r="HC28" s="225"/>
      <c r="HD28" s="225"/>
      <c r="HE28" s="225"/>
      <c r="HF28" s="225"/>
      <c r="HG28" s="225"/>
      <c r="HH28" s="225"/>
      <c r="HI28" s="225"/>
      <c r="HJ28" s="225"/>
      <c r="HK28" s="225"/>
      <c r="HL28" s="225"/>
      <c r="HM28" s="225"/>
      <c r="HN28" s="225"/>
      <c r="HO28" s="225"/>
      <c r="HP28" s="225"/>
      <c r="HQ28" s="225"/>
      <c r="HR28" s="225"/>
      <c r="HS28" s="225"/>
      <c r="HT28" s="225"/>
      <c r="HU28" s="225"/>
      <c r="HV28" s="225"/>
      <c r="HW28" s="225"/>
      <c r="HX28" s="225"/>
      <c r="HY28" s="225"/>
      <c r="HZ28" s="225"/>
      <c r="IA28" s="225"/>
      <c r="IB28" s="225"/>
      <c r="IC28" s="225"/>
      <c r="ID28" s="225"/>
      <c r="IE28" s="225"/>
      <c r="IF28" s="225"/>
      <c r="IG28" s="225"/>
      <c r="IH28" s="225"/>
      <c r="II28" s="225"/>
      <c r="IJ28" s="225"/>
      <c r="IK28" s="225"/>
      <c r="IL28" s="225"/>
      <c r="IM28" s="225"/>
      <c r="IN28" s="225"/>
      <c r="IO28" s="225"/>
      <c r="IP28" s="225"/>
      <c r="IQ28" s="225"/>
      <c r="IR28" s="225"/>
      <c r="IS28" s="225"/>
      <c r="IT28" s="225"/>
      <c r="IU28" s="225"/>
    </row>
    <row r="29" spans="1:255" s="215" customFormat="1" ht="18" customHeight="1" x14ac:dyDescent="0.2">
      <c r="A29" s="387" t="s">
        <v>260</v>
      </c>
      <c r="B29" s="387"/>
      <c r="C29" s="387"/>
      <c r="D29" s="387"/>
      <c r="E29" s="387"/>
      <c r="F29" s="387"/>
      <c r="G29" s="387"/>
      <c r="H29" s="387"/>
      <c r="I29" s="387"/>
      <c r="J29" s="226">
        <f ca="1">I27</f>
        <v>449076.45313643944</v>
      </c>
      <c r="K29" s="250"/>
      <c r="L29" s="263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  <c r="DM29" s="225"/>
      <c r="DN29" s="225"/>
      <c r="DO29" s="225"/>
      <c r="DP29" s="225"/>
      <c r="DQ29" s="225"/>
      <c r="DR29" s="225"/>
      <c r="DS29" s="225"/>
      <c r="DT29" s="225"/>
      <c r="DU29" s="225"/>
      <c r="DV29" s="225"/>
      <c r="DW29" s="225"/>
      <c r="DX29" s="225"/>
      <c r="DY29" s="225"/>
      <c r="DZ29" s="225"/>
      <c r="EA29" s="225"/>
      <c r="EB29" s="225"/>
      <c r="EC29" s="225"/>
      <c r="ED29" s="225"/>
      <c r="EE29" s="225"/>
      <c r="EF29" s="225"/>
      <c r="EG29" s="225"/>
      <c r="EH29" s="225"/>
      <c r="EI29" s="225"/>
      <c r="EJ29" s="225"/>
      <c r="EK29" s="225"/>
      <c r="EL29" s="225"/>
      <c r="EM29" s="225"/>
      <c r="EN29" s="225"/>
      <c r="EO29" s="225"/>
      <c r="EP29" s="225"/>
      <c r="EQ29" s="225"/>
      <c r="ER29" s="225"/>
      <c r="ES29" s="225"/>
      <c r="ET29" s="225"/>
      <c r="EU29" s="225"/>
      <c r="EV29" s="225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5"/>
      <c r="FH29" s="225"/>
      <c r="FI29" s="225"/>
      <c r="FJ29" s="225"/>
      <c r="FK29" s="225"/>
      <c r="FL29" s="225"/>
      <c r="FM29" s="225"/>
      <c r="FN29" s="225"/>
      <c r="FO29" s="225"/>
      <c r="FP29" s="225"/>
      <c r="FQ29" s="225"/>
      <c r="FR29" s="225"/>
      <c r="FS29" s="225"/>
      <c r="FT29" s="225"/>
      <c r="FU29" s="225"/>
      <c r="FV29" s="225"/>
      <c r="FW29" s="225"/>
      <c r="FX29" s="225"/>
      <c r="FY29" s="225"/>
      <c r="FZ29" s="225"/>
      <c r="GA29" s="225"/>
      <c r="GB29" s="225"/>
      <c r="GC29" s="225"/>
      <c r="GD29" s="225"/>
      <c r="GE29" s="225"/>
      <c r="GF29" s="225"/>
      <c r="GG29" s="225"/>
      <c r="GH29" s="225"/>
      <c r="GI29" s="225"/>
      <c r="GJ29" s="225"/>
      <c r="GK29" s="225"/>
      <c r="GL29" s="225"/>
      <c r="GM29" s="225"/>
      <c r="GN29" s="225"/>
      <c r="GO29" s="225"/>
      <c r="GP29" s="225"/>
      <c r="GQ29" s="225"/>
      <c r="GR29" s="225"/>
      <c r="GS29" s="225"/>
      <c r="GT29" s="225"/>
      <c r="GU29" s="225"/>
      <c r="GV29" s="225"/>
      <c r="GW29" s="225"/>
      <c r="GX29" s="225"/>
      <c r="GY29" s="225"/>
      <c r="GZ29" s="225"/>
      <c r="HA29" s="225"/>
      <c r="HB29" s="225"/>
      <c r="HC29" s="225"/>
      <c r="HD29" s="225"/>
      <c r="HE29" s="225"/>
      <c r="HF29" s="225"/>
      <c r="HG29" s="225"/>
      <c r="HH29" s="225"/>
      <c r="HI29" s="225"/>
      <c r="HJ29" s="225"/>
      <c r="HK29" s="225"/>
      <c r="HL29" s="225"/>
      <c r="HM29" s="225"/>
      <c r="HN29" s="225"/>
      <c r="HO29" s="225"/>
      <c r="HP29" s="225"/>
      <c r="HQ29" s="225"/>
      <c r="HR29" s="225"/>
      <c r="HS29" s="225"/>
      <c r="HT29" s="225"/>
      <c r="HU29" s="225"/>
      <c r="HV29" s="225"/>
      <c r="HW29" s="225"/>
      <c r="HX29" s="225"/>
      <c r="HY29" s="225"/>
      <c r="HZ29" s="225"/>
      <c r="IA29" s="225"/>
      <c r="IB29" s="225"/>
      <c r="IC29" s="225"/>
      <c r="ID29" s="225"/>
      <c r="IE29" s="225"/>
      <c r="IF29" s="225"/>
      <c r="IG29" s="225"/>
      <c r="IH29" s="225"/>
      <c r="II29" s="225"/>
      <c r="IJ29" s="225"/>
      <c r="IK29" s="225"/>
      <c r="IL29" s="225"/>
      <c r="IM29" s="225"/>
      <c r="IN29" s="225"/>
      <c r="IO29" s="225"/>
      <c r="IP29" s="225"/>
      <c r="IQ29" s="225"/>
      <c r="IR29" s="225"/>
      <c r="IS29" s="225"/>
      <c r="IT29" s="225"/>
      <c r="IU29" s="225"/>
    </row>
    <row r="30" spans="1:255" s="215" customFormat="1" ht="15" customHeight="1" x14ac:dyDescent="0.2">
      <c r="A30" s="388" t="s">
        <v>320</v>
      </c>
      <c r="B30" s="389"/>
      <c r="C30" s="389"/>
      <c r="D30" s="389"/>
      <c r="E30" s="389"/>
      <c r="F30" s="389"/>
      <c r="G30" s="389"/>
      <c r="H30" s="389"/>
      <c r="I30" s="389"/>
      <c r="J30" s="389"/>
      <c r="K30" s="251"/>
      <c r="L30" s="261"/>
    </row>
    <row r="31" spans="1:255" s="215" customFormat="1" ht="5.25" customHeight="1" x14ac:dyDescent="0.2">
      <c r="A31" s="385"/>
      <c r="B31" s="386"/>
      <c r="C31" s="386"/>
      <c r="D31" s="386"/>
      <c r="E31" s="386"/>
      <c r="F31" s="386"/>
      <c r="G31" s="386"/>
      <c r="H31" s="386"/>
      <c r="I31" s="386"/>
      <c r="J31" s="390"/>
      <c r="K31" s="249"/>
      <c r="L31" s="263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  <c r="IU31" s="225"/>
    </row>
    <row r="32" spans="1:255" s="215" customFormat="1" ht="19.5" customHeight="1" x14ac:dyDescent="0.2">
      <c r="A32" s="387" t="s">
        <v>261</v>
      </c>
      <c r="B32" s="387"/>
      <c r="C32" s="387"/>
      <c r="D32" s="387"/>
      <c r="E32" s="387"/>
      <c r="F32" s="387"/>
      <c r="G32" s="387"/>
      <c r="H32" s="387"/>
      <c r="I32" s="387"/>
      <c r="J32" s="227">
        <v>12</v>
      </c>
      <c r="K32" s="252"/>
      <c r="L32" s="261"/>
    </row>
    <row r="33" spans="1:255" s="215" customFormat="1" ht="5.25" customHeight="1" x14ac:dyDescent="0.2">
      <c r="A33" s="385"/>
      <c r="B33" s="386"/>
      <c r="C33" s="386"/>
      <c r="D33" s="386"/>
      <c r="E33" s="386"/>
      <c r="F33" s="386"/>
      <c r="G33" s="386"/>
      <c r="H33" s="386"/>
      <c r="I33" s="386"/>
      <c r="J33" s="390"/>
      <c r="K33" s="253"/>
      <c r="L33" s="263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</row>
    <row r="34" spans="1:255" s="215" customFormat="1" ht="15" customHeight="1" x14ac:dyDescent="0.2">
      <c r="A34" s="391" t="s">
        <v>262</v>
      </c>
      <c r="B34" s="391"/>
      <c r="C34" s="391"/>
      <c r="D34" s="391"/>
      <c r="E34" s="391"/>
      <c r="F34" s="391"/>
      <c r="G34" s="391"/>
      <c r="H34" s="391"/>
      <c r="I34" s="391"/>
      <c r="J34" s="228">
        <f ca="1">J27</f>
        <v>5388917.4376372732</v>
      </c>
      <c r="K34" s="254"/>
      <c r="L34" s="264">
        <f ca="1">J34+[1]Proposta!$J$19</f>
        <v>13337413.122685617</v>
      </c>
    </row>
    <row r="35" spans="1:255" s="215" customFormat="1" ht="15" customHeight="1" x14ac:dyDescent="0.2">
      <c r="A35" s="388" t="s">
        <v>321</v>
      </c>
      <c r="B35" s="389"/>
      <c r="C35" s="389"/>
      <c r="D35" s="389"/>
      <c r="E35" s="389"/>
      <c r="F35" s="389"/>
      <c r="G35" s="389"/>
      <c r="H35" s="389"/>
      <c r="I35" s="389"/>
      <c r="J35" s="392"/>
      <c r="K35" s="255"/>
      <c r="L35" s="261"/>
    </row>
    <row r="36" spans="1:255" ht="18" customHeight="1" x14ac:dyDescent="0.25">
      <c r="A36" s="393" t="s">
        <v>193</v>
      </c>
      <c r="B36" s="394"/>
      <c r="C36" s="394"/>
      <c r="D36" s="394"/>
      <c r="E36" s="394"/>
      <c r="F36" s="394"/>
      <c r="G36" s="394"/>
      <c r="H36" s="394"/>
      <c r="I36" s="394"/>
      <c r="J36" s="395"/>
      <c r="K36" s="246"/>
    </row>
    <row r="37" spans="1:255" ht="17.100000000000001" customHeight="1" x14ac:dyDescent="0.2">
      <c r="A37" s="375" t="s">
        <v>263</v>
      </c>
      <c r="B37" s="375"/>
      <c r="C37" s="375"/>
      <c r="D37" s="375"/>
      <c r="E37" s="375"/>
      <c r="F37" s="375"/>
      <c r="G37" s="375"/>
      <c r="H37" s="375"/>
    </row>
    <row r="38" spans="1:255" ht="17.100000000000001" customHeight="1" x14ac:dyDescent="0.2">
      <c r="A38" s="375" t="s">
        <v>264</v>
      </c>
      <c r="B38" s="375"/>
      <c r="C38" s="375"/>
      <c r="D38" s="375"/>
      <c r="E38" s="375"/>
      <c r="F38" s="375"/>
      <c r="G38" s="375"/>
      <c r="H38" s="375"/>
    </row>
    <row r="39" spans="1:255" ht="17.100000000000001" customHeight="1" x14ac:dyDescent="0.25">
      <c r="A39" s="375" t="s">
        <v>265</v>
      </c>
      <c r="B39" s="375"/>
      <c r="C39" s="375"/>
      <c r="D39" s="375"/>
      <c r="E39" s="229"/>
      <c r="F39" s="229"/>
      <c r="G39" s="229"/>
      <c r="H39" s="376" t="s">
        <v>266</v>
      </c>
      <c r="I39" s="376"/>
      <c r="J39" s="376"/>
    </row>
    <row r="40" spans="1:255" ht="17.100000000000001" customHeight="1" x14ac:dyDescent="0.25">
      <c r="A40" s="375" t="s">
        <v>194</v>
      </c>
      <c r="B40" s="375"/>
      <c r="C40" s="375"/>
      <c r="D40" s="375"/>
      <c r="E40" s="229"/>
      <c r="F40" s="229"/>
      <c r="G40" s="229"/>
      <c r="H40" s="376" t="s">
        <v>267</v>
      </c>
      <c r="I40" s="376"/>
      <c r="J40" s="376"/>
    </row>
    <row r="41" spans="1:255" ht="17.100000000000001" customHeight="1" x14ac:dyDescent="0.25">
      <c r="A41" s="375" t="s">
        <v>268</v>
      </c>
      <c r="B41" s="375"/>
      <c r="C41" s="375"/>
      <c r="D41" s="375"/>
      <c r="E41" s="229"/>
      <c r="F41" s="229"/>
      <c r="G41" s="229"/>
      <c r="H41" s="376" t="s">
        <v>269</v>
      </c>
      <c r="I41" s="376"/>
      <c r="J41" s="376"/>
    </row>
    <row r="42" spans="1:255" ht="17.100000000000001" customHeight="1" x14ac:dyDescent="0.25">
      <c r="A42" s="375" t="s">
        <v>195</v>
      </c>
      <c r="B42" s="375"/>
      <c r="C42" s="375"/>
      <c r="D42" s="375"/>
      <c r="E42" s="230"/>
      <c r="F42" s="230"/>
      <c r="G42" s="230"/>
      <c r="H42" s="376" t="s">
        <v>270</v>
      </c>
      <c r="I42" s="376"/>
      <c r="J42" s="376"/>
    </row>
    <row r="43" spans="1:255" ht="33.75" customHeight="1" x14ac:dyDescent="0.25">
      <c r="A43" s="377" t="s">
        <v>271</v>
      </c>
      <c r="B43" s="378"/>
      <c r="C43" s="378"/>
      <c r="D43" s="378"/>
      <c r="E43" s="378"/>
      <c r="F43" s="378"/>
      <c r="G43" s="378"/>
      <c r="H43" s="378"/>
      <c r="I43" s="378"/>
      <c r="J43" s="379"/>
      <c r="K43" s="246"/>
    </row>
    <row r="44" spans="1:255" ht="82.5" customHeight="1" x14ac:dyDescent="0.25">
      <c r="A44" s="380" t="s">
        <v>273</v>
      </c>
      <c r="B44" s="381"/>
      <c r="C44" s="381"/>
      <c r="D44" s="381"/>
      <c r="E44" s="381"/>
      <c r="F44" s="381"/>
      <c r="G44" s="381"/>
      <c r="H44" s="381"/>
      <c r="I44" s="381"/>
      <c r="J44" s="382"/>
      <c r="K44" s="246"/>
    </row>
    <row r="45" spans="1:255" ht="26.25" customHeight="1" x14ac:dyDescent="0.25">
      <c r="A45" s="368" t="s">
        <v>316</v>
      </c>
      <c r="B45" s="369"/>
      <c r="C45" s="369"/>
      <c r="D45" s="369"/>
      <c r="E45" s="369"/>
      <c r="F45" s="369"/>
      <c r="G45" s="369"/>
      <c r="H45" s="369"/>
      <c r="I45" s="369"/>
      <c r="J45" s="370"/>
      <c r="K45" s="246"/>
    </row>
    <row r="46" spans="1:255" ht="25.5" customHeight="1" x14ac:dyDescent="0.25">
      <c r="A46" s="368" t="s">
        <v>317</v>
      </c>
      <c r="B46" s="369"/>
      <c r="C46" s="369"/>
      <c r="D46" s="369"/>
      <c r="E46" s="369"/>
      <c r="F46" s="369"/>
      <c r="G46" s="369"/>
      <c r="H46" s="369"/>
      <c r="I46" s="369"/>
      <c r="J46" s="370"/>
      <c r="K46" s="246"/>
    </row>
    <row r="47" spans="1:255" ht="39" customHeight="1" x14ac:dyDescent="0.25">
      <c r="A47" s="368" t="s">
        <v>318</v>
      </c>
      <c r="B47" s="369"/>
      <c r="C47" s="369"/>
      <c r="D47" s="369"/>
      <c r="E47" s="369"/>
      <c r="F47" s="369"/>
      <c r="G47" s="369"/>
      <c r="H47" s="369"/>
      <c r="I47" s="369"/>
      <c r="J47" s="370"/>
      <c r="K47" s="246"/>
    </row>
    <row r="48" spans="1:255" ht="27.75" customHeight="1" x14ac:dyDescent="0.25">
      <c r="A48" s="368" t="s">
        <v>319</v>
      </c>
      <c r="B48" s="369"/>
      <c r="C48" s="369"/>
      <c r="D48" s="369"/>
      <c r="E48" s="369"/>
      <c r="F48" s="369"/>
      <c r="G48" s="369"/>
      <c r="H48" s="369"/>
      <c r="I48" s="369"/>
      <c r="J48" s="370"/>
      <c r="K48" s="246"/>
    </row>
    <row r="49" spans="1:11" x14ac:dyDescent="0.25">
      <c r="A49" s="371"/>
      <c r="B49" s="372"/>
      <c r="C49" s="372"/>
      <c r="D49" s="372"/>
      <c r="E49" s="372"/>
      <c r="F49" s="372"/>
      <c r="G49" s="210"/>
      <c r="I49" s="209"/>
      <c r="J49" s="231"/>
      <c r="K49" s="246"/>
    </row>
    <row r="50" spans="1:11" x14ac:dyDescent="0.25">
      <c r="A50" s="373"/>
      <c r="B50" s="374"/>
      <c r="C50" s="374"/>
      <c r="D50" s="374"/>
      <c r="E50" s="374"/>
      <c r="F50" s="374"/>
      <c r="G50" s="374"/>
      <c r="H50" s="374"/>
      <c r="I50" s="209"/>
      <c r="J50" s="231"/>
      <c r="K50" s="246"/>
    </row>
    <row r="51" spans="1:11" x14ac:dyDescent="0.25">
      <c r="A51" s="373"/>
      <c r="B51" s="374"/>
      <c r="C51" s="374"/>
      <c r="D51" s="374"/>
      <c r="E51" s="374"/>
      <c r="F51" s="374"/>
      <c r="G51" s="374"/>
      <c r="H51" s="374"/>
      <c r="I51" s="209"/>
      <c r="J51" s="231"/>
      <c r="K51" s="246"/>
    </row>
    <row r="52" spans="1:11" x14ac:dyDescent="0.25">
      <c r="A52" s="373"/>
      <c r="B52" s="374"/>
      <c r="C52" s="374"/>
      <c r="D52" s="374"/>
      <c r="E52" s="374"/>
      <c r="F52" s="374"/>
      <c r="G52" s="374"/>
      <c r="H52" s="374"/>
      <c r="I52" s="209"/>
      <c r="J52" s="231"/>
      <c r="K52" s="246"/>
    </row>
    <row r="53" spans="1:11" x14ac:dyDescent="0.25">
      <c r="A53" s="373"/>
      <c r="B53" s="374"/>
      <c r="C53" s="374"/>
      <c r="D53" s="374"/>
      <c r="E53" s="374"/>
      <c r="F53" s="374"/>
      <c r="G53" s="374"/>
      <c r="H53" s="374"/>
      <c r="I53" s="209"/>
      <c r="J53" s="231"/>
      <c r="K53" s="246"/>
    </row>
    <row r="54" spans="1:11" x14ac:dyDescent="0.25">
      <c r="A54" s="232"/>
      <c r="B54" s="233"/>
      <c r="C54" s="233"/>
      <c r="D54" s="233"/>
      <c r="E54" s="233"/>
      <c r="F54" s="233"/>
      <c r="G54" s="233"/>
      <c r="H54" s="234"/>
      <c r="I54" s="233"/>
      <c r="J54" s="235"/>
      <c r="K54" s="246"/>
    </row>
    <row r="55" spans="1:11" x14ac:dyDescent="0.25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46"/>
    </row>
  </sheetData>
  <mergeCells count="46">
    <mergeCell ref="A10:J10"/>
    <mergeCell ref="C2:J2"/>
    <mergeCell ref="A5:H5"/>
    <mergeCell ref="A6:H6"/>
    <mergeCell ref="A7:H7"/>
    <mergeCell ref="A9:J9"/>
    <mergeCell ref="A20:A26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F18"/>
    <mergeCell ref="H18:K18"/>
    <mergeCell ref="A38:H38"/>
    <mergeCell ref="A27:D27"/>
    <mergeCell ref="A28:J28"/>
    <mergeCell ref="A29:I29"/>
    <mergeCell ref="A30:J30"/>
    <mergeCell ref="A31:J31"/>
    <mergeCell ref="A32:I32"/>
    <mergeCell ref="A33:J33"/>
    <mergeCell ref="A34:I34"/>
    <mergeCell ref="A35:J35"/>
    <mergeCell ref="A36:J36"/>
    <mergeCell ref="A37:H37"/>
    <mergeCell ref="A39:D39"/>
    <mergeCell ref="H39:J39"/>
    <mergeCell ref="A40:D40"/>
    <mergeCell ref="H40:J40"/>
    <mergeCell ref="A41:D41"/>
    <mergeCell ref="H41:J41"/>
    <mergeCell ref="A47:J47"/>
    <mergeCell ref="A48:J48"/>
    <mergeCell ref="A49:F49"/>
    <mergeCell ref="A50:H53"/>
    <mergeCell ref="A42:D42"/>
    <mergeCell ref="H42:J42"/>
    <mergeCell ref="A43:J43"/>
    <mergeCell ref="A44:J44"/>
    <mergeCell ref="A45:J45"/>
    <mergeCell ref="A46:J4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U55"/>
  <sheetViews>
    <sheetView showGridLines="0" view="pageBreakPreview" topLeftCell="A17" zoomScale="120" zoomScaleNormal="100" zoomScaleSheetLayoutView="120" workbookViewId="0">
      <selection activeCell="G22" sqref="G22"/>
    </sheetView>
  </sheetViews>
  <sheetFormatPr defaultRowHeight="15.7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2.42578125" style="22" customWidth="1"/>
    <col min="6" max="6" width="10.7109375" style="22" customWidth="1"/>
    <col min="7" max="7" width="13.85546875" style="22" customWidth="1"/>
    <col min="8" max="8" width="15.28515625" style="22" customWidth="1"/>
    <col min="9" max="10" width="16.42578125" style="22" customWidth="1"/>
    <col min="11" max="11" width="11.140625" style="257" customWidth="1"/>
    <col min="12" max="12" width="19.28515625" style="258" customWidth="1"/>
    <col min="13" max="246" width="9.140625" style="22"/>
    <col min="247" max="247" width="3.28515625" style="22" customWidth="1"/>
    <col min="248" max="248" width="29" style="22" customWidth="1"/>
    <col min="249" max="249" width="14" style="22" customWidth="1"/>
    <col min="250" max="250" width="11.28515625" style="22" customWidth="1"/>
    <col min="251" max="251" width="16.7109375" style="22" customWidth="1"/>
    <col min="252" max="252" width="8.85546875" style="22" customWidth="1"/>
    <col min="253" max="253" width="29" style="22" customWidth="1"/>
    <col min="254" max="502" width="9.140625" style="22"/>
    <col min="503" max="503" width="3.28515625" style="22" customWidth="1"/>
    <col min="504" max="504" width="29" style="22" customWidth="1"/>
    <col min="505" max="505" width="14" style="22" customWidth="1"/>
    <col min="506" max="506" width="11.28515625" style="22" customWidth="1"/>
    <col min="507" max="507" width="16.7109375" style="22" customWidth="1"/>
    <col min="508" max="508" width="8.85546875" style="22" customWidth="1"/>
    <col min="509" max="509" width="29" style="22" customWidth="1"/>
    <col min="510" max="758" width="9.140625" style="22"/>
    <col min="759" max="759" width="3.28515625" style="22" customWidth="1"/>
    <col min="760" max="760" width="29" style="22" customWidth="1"/>
    <col min="761" max="761" width="14" style="22" customWidth="1"/>
    <col min="762" max="762" width="11.28515625" style="22" customWidth="1"/>
    <col min="763" max="763" width="16.7109375" style="22" customWidth="1"/>
    <col min="764" max="764" width="8.85546875" style="22" customWidth="1"/>
    <col min="765" max="765" width="29" style="22" customWidth="1"/>
    <col min="766" max="1014" width="9.140625" style="22"/>
    <col min="1015" max="1015" width="3.28515625" style="22" customWidth="1"/>
    <col min="1016" max="1016" width="29" style="22" customWidth="1"/>
    <col min="1017" max="1017" width="14" style="22" customWidth="1"/>
    <col min="1018" max="1018" width="11.28515625" style="22" customWidth="1"/>
    <col min="1019" max="1019" width="16.7109375" style="22" customWidth="1"/>
    <col min="1020" max="1020" width="8.85546875" style="22" customWidth="1"/>
    <col min="1021" max="1021" width="29" style="22" customWidth="1"/>
    <col min="1022" max="1270" width="9.140625" style="22"/>
    <col min="1271" max="1271" width="3.28515625" style="22" customWidth="1"/>
    <col min="1272" max="1272" width="29" style="22" customWidth="1"/>
    <col min="1273" max="1273" width="14" style="22" customWidth="1"/>
    <col min="1274" max="1274" width="11.28515625" style="22" customWidth="1"/>
    <col min="1275" max="1275" width="16.7109375" style="22" customWidth="1"/>
    <col min="1276" max="1276" width="8.85546875" style="22" customWidth="1"/>
    <col min="1277" max="1277" width="29" style="22" customWidth="1"/>
    <col min="1278" max="1526" width="9.140625" style="22"/>
    <col min="1527" max="1527" width="3.28515625" style="22" customWidth="1"/>
    <col min="1528" max="1528" width="29" style="22" customWidth="1"/>
    <col min="1529" max="1529" width="14" style="22" customWidth="1"/>
    <col min="1530" max="1530" width="11.28515625" style="22" customWidth="1"/>
    <col min="1531" max="1531" width="16.7109375" style="22" customWidth="1"/>
    <col min="1532" max="1532" width="8.85546875" style="22" customWidth="1"/>
    <col min="1533" max="1533" width="29" style="22" customWidth="1"/>
    <col min="1534" max="1782" width="9.140625" style="22"/>
    <col min="1783" max="1783" width="3.28515625" style="22" customWidth="1"/>
    <col min="1784" max="1784" width="29" style="22" customWidth="1"/>
    <col min="1785" max="1785" width="14" style="22" customWidth="1"/>
    <col min="1786" max="1786" width="11.28515625" style="22" customWidth="1"/>
    <col min="1787" max="1787" width="16.7109375" style="22" customWidth="1"/>
    <col min="1788" max="1788" width="8.85546875" style="22" customWidth="1"/>
    <col min="1789" max="1789" width="29" style="22" customWidth="1"/>
    <col min="1790" max="2038" width="9.140625" style="22"/>
    <col min="2039" max="2039" width="3.28515625" style="22" customWidth="1"/>
    <col min="2040" max="2040" width="29" style="22" customWidth="1"/>
    <col min="2041" max="2041" width="14" style="22" customWidth="1"/>
    <col min="2042" max="2042" width="11.28515625" style="22" customWidth="1"/>
    <col min="2043" max="2043" width="16.7109375" style="22" customWidth="1"/>
    <col min="2044" max="2044" width="8.85546875" style="22" customWidth="1"/>
    <col min="2045" max="2045" width="29" style="22" customWidth="1"/>
    <col min="2046" max="2294" width="9.140625" style="22"/>
    <col min="2295" max="2295" width="3.28515625" style="22" customWidth="1"/>
    <col min="2296" max="2296" width="29" style="22" customWidth="1"/>
    <col min="2297" max="2297" width="14" style="22" customWidth="1"/>
    <col min="2298" max="2298" width="11.28515625" style="22" customWidth="1"/>
    <col min="2299" max="2299" width="16.7109375" style="22" customWidth="1"/>
    <col min="2300" max="2300" width="8.85546875" style="22" customWidth="1"/>
    <col min="2301" max="2301" width="29" style="22" customWidth="1"/>
    <col min="2302" max="2550" width="9.140625" style="22"/>
    <col min="2551" max="2551" width="3.28515625" style="22" customWidth="1"/>
    <col min="2552" max="2552" width="29" style="22" customWidth="1"/>
    <col min="2553" max="2553" width="14" style="22" customWidth="1"/>
    <col min="2554" max="2554" width="11.28515625" style="22" customWidth="1"/>
    <col min="2555" max="2555" width="16.7109375" style="22" customWidth="1"/>
    <col min="2556" max="2556" width="8.85546875" style="22" customWidth="1"/>
    <col min="2557" max="2557" width="29" style="22" customWidth="1"/>
    <col min="2558" max="2806" width="9.140625" style="22"/>
    <col min="2807" max="2807" width="3.28515625" style="22" customWidth="1"/>
    <col min="2808" max="2808" width="29" style="22" customWidth="1"/>
    <col min="2809" max="2809" width="14" style="22" customWidth="1"/>
    <col min="2810" max="2810" width="11.28515625" style="22" customWidth="1"/>
    <col min="2811" max="2811" width="16.7109375" style="22" customWidth="1"/>
    <col min="2812" max="2812" width="8.85546875" style="22" customWidth="1"/>
    <col min="2813" max="2813" width="29" style="22" customWidth="1"/>
    <col min="2814" max="3062" width="9.140625" style="22"/>
    <col min="3063" max="3063" width="3.28515625" style="22" customWidth="1"/>
    <col min="3064" max="3064" width="29" style="22" customWidth="1"/>
    <col min="3065" max="3065" width="14" style="22" customWidth="1"/>
    <col min="3066" max="3066" width="11.28515625" style="22" customWidth="1"/>
    <col min="3067" max="3067" width="16.7109375" style="22" customWidth="1"/>
    <col min="3068" max="3068" width="8.85546875" style="22" customWidth="1"/>
    <col min="3069" max="3069" width="29" style="22" customWidth="1"/>
    <col min="3070" max="3318" width="9.140625" style="22"/>
    <col min="3319" max="3319" width="3.28515625" style="22" customWidth="1"/>
    <col min="3320" max="3320" width="29" style="22" customWidth="1"/>
    <col min="3321" max="3321" width="14" style="22" customWidth="1"/>
    <col min="3322" max="3322" width="11.28515625" style="22" customWidth="1"/>
    <col min="3323" max="3323" width="16.7109375" style="22" customWidth="1"/>
    <col min="3324" max="3324" width="8.85546875" style="22" customWidth="1"/>
    <col min="3325" max="3325" width="29" style="22" customWidth="1"/>
    <col min="3326" max="3574" width="9.140625" style="22"/>
    <col min="3575" max="3575" width="3.28515625" style="22" customWidth="1"/>
    <col min="3576" max="3576" width="29" style="22" customWidth="1"/>
    <col min="3577" max="3577" width="14" style="22" customWidth="1"/>
    <col min="3578" max="3578" width="11.28515625" style="22" customWidth="1"/>
    <col min="3579" max="3579" width="16.7109375" style="22" customWidth="1"/>
    <col min="3580" max="3580" width="8.85546875" style="22" customWidth="1"/>
    <col min="3581" max="3581" width="29" style="22" customWidth="1"/>
    <col min="3582" max="3830" width="9.140625" style="22"/>
    <col min="3831" max="3831" width="3.28515625" style="22" customWidth="1"/>
    <col min="3832" max="3832" width="29" style="22" customWidth="1"/>
    <col min="3833" max="3833" width="14" style="22" customWidth="1"/>
    <col min="3834" max="3834" width="11.28515625" style="22" customWidth="1"/>
    <col min="3835" max="3835" width="16.7109375" style="22" customWidth="1"/>
    <col min="3836" max="3836" width="8.85546875" style="22" customWidth="1"/>
    <col min="3837" max="3837" width="29" style="22" customWidth="1"/>
    <col min="3838" max="4086" width="9.140625" style="22"/>
    <col min="4087" max="4087" width="3.28515625" style="22" customWidth="1"/>
    <col min="4088" max="4088" width="29" style="22" customWidth="1"/>
    <col min="4089" max="4089" width="14" style="22" customWidth="1"/>
    <col min="4090" max="4090" width="11.28515625" style="22" customWidth="1"/>
    <col min="4091" max="4091" width="16.7109375" style="22" customWidth="1"/>
    <col min="4092" max="4092" width="8.85546875" style="22" customWidth="1"/>
    <col min="4093" max="4093" width="29" style="22" customWidth="1"/>
    <col min="4094" max="4342" width="9.140625" style="22"/>
    <col min="4343" max="4343" width="3.28515625" style="22" customWidth="1"/>
    <col min="4344" max="4344" width="29" style="22" customWidth="1"/>
    <col min="4345" max="4345" width="14" style="22" customWidth="1"/>
    <col min="4346" max="4346" width="11.28515625" style="22" customWidth="1"/>
    <col min="4347" max="4347" width="16.7109375" style="22" customWidth="1"/>
    <col min="4348" max="4348" width="8.85546875" style="22" customWidth="1"/>
    <col min="4349" max="4349" width="29" style="22" customWidth="1"/>
    <col min="4350" max="4598" width="9.140625" style="22"/>
    <col min="4599" max="4599" width="3.28515625" style="22" customWidth="1"/>
    <col min="4600" max="4600" width="29" style="22" customWidth="1"/>
    <col min="4601" max="4601" width="14" style="22" customWidth="1"/>
    <col min="4602" max="4602" width="11.28515625" style="22" customWidth="1"/>
    <col min="4603" max="4603" width="16.7109375" style="22" customWidth="1"/>
    <col min="4604" max="4604" width="8.85546875" style="22" customWidth="1"/>
    <col min="4605" max="4605" width="29" style="22" customWidth="1"/>
    <col min="4606" max="4854" width="9.140625" style="22"/>
    <col min="4855" max="4855" width="3.28515625" style="22" customWidth="1"/>
    <col min="4856" max="4856" width="29" style="22" customWidth="1"/>
    <col min="4857" max="4857" width="14" style="22" customWidth="1"/>
    <col min="4858" max="4858" width="11.28515625" style="22" customWidth="1"/>
    <col min="4859" max="4859" width="16.7109375" style="22" customWidth="1"/>
    <col min="4860" max="4860" width="8.85546875" style="22" customWidth="1"/>
    <col min="4861" max="4861" width="29" style="22" customWidth="1"/>
    <col min="4862" max="5110" width="9.140625" style="22"/>
    <col min="5111" max="5111" width="3.28515625" style="22" customWidth="1"/>
    <col min="5112" max="5112" width="29" style="22" customWidth="1"/>
    <col min="5113" max="5113" width="14" style="22" customWidth="1"/>
    <col min="5114" max="5114" width="11.28515625" style="22" customWidth="1"/>
    <col min="5115" max="5115" width="16.7109375" style="22" customWidth="1"/>
    <col min="5116" max="5116" width="8.85546875" style="22" customWidth="1"/>
    <col min="5117" max="5117" width="29" style="22" customWidth="1"/>
    <col min="5118" max="5366" width="9.140625" style="22"/>
    <col min="5367" max="5367" width="3.28515625" style="22" customWidth="1"/>
    <col min="5368" max="5368" width="29" style="22" customWidth="1"/>
    <col min="5369" max="5369" width="14" style="22" customWidth="1"/>
    <col min="5370" max="5370" width="11.28515625" style="22" customWidth="1"/>
    <col min="5371" max="5371" width="16.7109375" style="22" customWidth="1"/>
    <col min="5372" max="5372" width="8.85546875" style="22" customWidth="1"/>
    <col min="5373" max="5373" width="29" style="22" customWidth="1"/>
    <col min="5374" max="5622" width="9.140625" style="22"/>
    <col min="5623" max="5623" width="3.28515625" style="22" customWidth="1"/>
    <col min="5624" max="5624" width="29" style="22" customWidth="1"/>
    <col min="5625" max="5625" width="14" style="22" customWidth="1"/>
    <col min="5626" max="5626" width="11.28515625" style="22" customWidth="1"/>
    <col min="5627" max="5627" width="16.7109375" style="22" customWidth="1"/>
    <col min="5628" max="5628" width="8.85546875" style="22" customWidth="1"/>
    <col min="5629" max="5629" width="29" style="22" customWidth="1"/>
    <col min="5630" max="5878" width="9.140625" style="22"/>
    <col min="5879" max="5879" width="3.28515625" style="22" customWidth="1"/>
    <col min="5880" max="5880" width="29" style="22" customWidth="1"/>
    <col min="5881" max="5881" width="14" style="22" customWidth="1"/>
    <col min="5882" max="5882" width="11.28515625" style="22" customWidth="1"/>
    <col min="5883" max="5883" width="16.7109375" style="22" customWidth="1"/>
    <col min="5884" max="5884" width="8.85546875" style="22" customWidth="1"/>
    <col min="5885" max="5885" width="29" style="22" customWidth="1"/>
    <col min="5886" max="6134" width="9.140625" style="22"/>
    <col min="6135" max="6135" width="3.28515625" style="22" customWidth="1"/>
    <col min="6136" max="6136" width="29" style="22" customWidth="1"/>
    <col min="6137" max="6137" width="14" style="22" customWidth="1"/>
    <col min="6138" max="6138" width="11.28515625" style="22" customWidth="1"/>
    <col min="6139" max="6139" width="16.7109375" style="22" customWidth="1"/>
    <col min="6140" max="6140" width="8.85546875" style="22" customWidth="1"/>
    <col min="6141" max="6141" width="29" style="22" customWidth="1"/>
    <col min="6142" max="6390" width="9.140625" style="22"/>
    <col min="6391" max="6391" width="3.28515625" style="22" customWidth="1"/>
    <col min="6392" max="6392" width="29" style="22" customWidth="1"/>
    <col min="6393" max="6393" width="14" style="22" customWidth="1"/>
    <col min="6394" max="6394" width="11.28515625" style="22" customWidth="1"/>
    <col min="6395" max="6395" width="16.7109375" style="22" customWidth="1"/>
    <col min="6396" max="6396" width="8.85546875" style="22" customWidth="1"/>
    <col min="6397" max="6397" width="29" style="22" customWidth="1"/>
    <col min="6398" max="6646" width="9.140625" style="22"/>
    <col min="6647" max="6647" width="3.28515625" style="22" customWidth="1"/>
    <col min="6648" max="6648" width="29" style="22" customWidth="1"/>
    <col min="6649" max="6649" width="14" style="22" customWidth="1"/>
    <col min="6650" max="6650" width="11.28515625" style="22" customWidth="1"/>
    <col min="6651" max="6651" width="16.7109375" style="22" customWidth="1"/>
    <col min="6652" max="6652" width="8.85546875" style="22" customWidth="1"/>
    <col min="6653" max="6653" width="29" style="22" customWidth="1"/>
    <col min="6654" max="6902" width="9.140625" style="22"/>
    <col min="6903" max="6903" width="3.28515625" style="22" customWidth="1"/>
    <col min="6904" max="6904" width="29" style="22" customWidth="1"/>
    <col min="6905" max="6905" width="14" style="22" customWidth="1"/>
    <col min="6906" max="6906" width="11.28515625" style="22" customWidth="1"/>
    <col min="6907" max="6907" width="16.7109375" style="22" customWidth="1"/>
    <col min="6908" max="6908" width="8.85546875" style="22" customWidth="1"/>
    <col min="6909" max="6909" width="29" style="22" customWidth="1"/>
    <col min="6910" max="7158" width="9.140625" style="22"/>
    <col min="7159" max="7159" width="3.28515625" style="22" customWidth="1"/>
    <col min="7160" max="7160" width="29" style="22" customWidth="1"/>
    <col min="7161" max="7161" width="14" style="22" customWidth="1"/>
    <col min="7162" max="7162" width="11.28515625" style="22" customWidth="1"/>
    <col min="7163" max="7163" width="16.7109375" style="22" customWidth="1"/>
    <col min="7164" max="7164" width="8.85546875" style="22" customWidth="1"/>
    <col min="7165" max="7165" width="29" style="22" customWidth="1"/>
    <col min="7166" max="7414" width="9.140625" style="22"/>
    <col min="7415" max="7415" width="3.28515625" style="22" customWidth="1"/>
    <col min="7416" max="7416" width="29" style="22" customWidth="1"/>
    <col min="7417" max="7417" width="14" style="22" customWidth="1"/>
    <col min="7418" max="7418" width="11.28515625" style="22" customWidth="1"/>
    <col min="7419" max="7419" width="16.7109375" style="22" customWidth="1"/>
    <col min="7420" max="7420" width="8.85546875" style="22" customWidth="1"/>
    <col min="7421" max="7421" width="29" style="22" customWidth="1"/>
    <col min="7422" max="7670" width="9.140625" style="22"/>
    <col min="7671" max="7671" width="3.28515625" style="22" customWidth="1"/>
    <col min="7672" max="7672" width="29" style="22" customWidth="1"/>
    <col min="7673" max="7673" width="14" style="22" customWidth="1"/>
    <col min="7674" max="7674" width="11.28515625" style="22" customWidth="1"/>
    <col min="7675" max="7675" width="16.7109375" style="22" customWidth="1"/>
    <col min="7676" max="7676" width="8.85546875" style="22" customWidth="1"/>
    <col min="7677" max="7677" width="29" style="22" customWidth="1"/>
    <col min="7678" max="7926" width="9.140625" style="22"/>
    <col min="7927" max="7927" width="3.28515625" style="22" customWidth="1"/>
    <col min="7928" max="7928" width="29" style="22" customWidth="1"/>
    <col min="7929" max="7929" width="14" style="22" customWidth="1"/>
    <col min="7930" max="7930" width="11.28515625" style="22" customWidth="1"/>
    <col min="7931" max="7931" width="16.7109375" style="22" customWidth="1"/>
    <col min="7932" max="7932" width="8.85546875" style="22" customWidth="1"/>
    <col min="7933" max="7933" width="29" style="22" customWidth="1"/>
    <col min="7934" max="8182" width="9.140625" style="22"/>
    <col min="8183" max="8183" width="3.28515625" style="22" customWidth="1"/>
    <col min="8184" max="8184" width="29" style="22" customWidth="1"/>
    <col min="8185" max="8185" width="14" style="22" customWidth="1"/>
    <col min="8186" max="8186" width="11.28515625" style="22" customWidth="1"/>
    <col min="8187" max="8187" width="16.7109375" style="22" customWidth="1"/>
    <col min="8188" max="8188" width="8.85546875" style="22" customWidth="1"/>
    <col min="8189" max="8189" width="29" style="22" customWidth="1"/>
    <col min="8190" max="8438" width="9.140625" style="22"/>
    <col min="8439" max="8439" width="3.28515625" style="22" customWidth="1"/>
    <col min="8440" max="8440" width="29" style="22" customWidth="1"/>
    <col min="8441" max="8441" width="14" style="22" customWidth="1"/>
    <col min="8442" max="8442" width="11.28515625" style="22" customWidth="1"/>
    <col min="8443" max="8443" width="16.7109375" style="22" customWidth="1"/>
    <col min="8444" max="8444" width="8.85546875" style="22" customWidth="1"/>
    <col min="8445" max="8445" width="29" style="22" customWidth="1"/>
    <col min="8446" max="8694" width="9.140625" style="22"/>
    <col min="8695" max="8695" width="3.28515625" style="22" customWidth="1"/>
    <col min="8696" max="8696" width="29" style="22" customWidth="1"/>
    <col min="8697" max="8697" width="14" style="22" customWidth="1"/>
    <col min="8698" max="8698" width="11.28515625" style="22" customWidth="1"/>
    <col min="8699" max="8699" width="16.7109375" style="22" customWidth="1"/>
    <col min="8700" max="8700" width="8.85546875" style="22" customWidth="1"/>
    <col min="8701" max="8701" width="29" style="22" customWidth="1"/>
    <col min="8702" max="8950" width="9.140625" style="22"/>
    <col min="8951" max="8951" width="3.28515625" style="22" customWidth="1"/>
    <col min="8952" max="8952" width="29" style="22" customWidth="1"/>
    <col min="8953" max="8953" width="14" style="22" customWidth="1"/>
    <col min="8954" max="8954" width="11.28515625" style="22" customWidth="1"/>
    <col min="8955" max="8955" width="16.7109375" style="22" customWidth="1"/>
    <col min="8956" max="8956" width="8.85546875" style="22" customWidth="1"/>
    <col min="8957" max="8957" width="29" style="22" customWidth="1"/>
    <col min="8958" max="9206" width="9.140625" style="22"/>
    <col min="9207" max="9207" width="3.28515625" style="22" customWidth="1"/>
    <col min="9208" max="9208" width="29" style="22" customWidth="1"/>
    <col min="9209" max="9209" width="14" style="22" customWidth="1"/>
    <col min="9210" max="9210" width="11.28515625" style="22" customWidth="1"/>
    <col min="9211" max="9211" width="16.7109375" style="22" customWidth="1"/>
    <col min="9212" max="9212" width="8.85546875" style="22" customWidth="1"/>
    <col min="9213" max="9213" width="29" style="22" customWidth="1"/>
    <col min="9214" max="9462" width="9.140625" style="22"/>
    <col min="9463" max="9463" width="3.28515625" style="22" customWidth="1"/>
    <col min="9464" max="9464" width="29" style="22" customWidth="1"/>
    <col min="9465" max="9465" width="14" style="22" customWidth="1"/>
    <col min="9466" max="9466" width="11.28515625" style="22" customWidth="1"/>
    <col min="9467" max="9467" width="16.7109375" style="22" customWidth="1"/>
    <col min="9468" max="9468" width="8.85546875" style="22" customWidth="1"/>
    <col min="9469" max="9469" width="29" style="22" customWidth="1"/>
    <col min="9470" max="9718" width="9.140625" style="22"/>
    <col min="9719" max="9719" width="3.28515625" style="22" customWidth="1"/>
    <col min="9720" max="9720" width="29" style="22" customWidth="1"/>
    <col min="9721" max="9721" width="14" style="22" customWidth="1"/>
    <col min="9722" max="9722" width="11.28515625" style="22" customWidth="1"/>
    <col min="9723" max="9723" width="16.7109375" style="22" customWidth="1"/>
    <col min="9724" max="9724" width="8.85546875" style="22" customWidth="1"/>
    <col min="9725" max="9725" width="29" style="22" customWidth="1"/>
    <col min="9726" max="9974" width="9.140625" style="22"/>
    <col min="9975" max="9975" width="3.28515625" style="22" customWidth="1"/>
    <col min="9976" max="9976" width="29" style="22" customWidth="1"/>
    <col min="9977" max="9977" width="14" style="22" customWidth="1"/>
    <col min="9978" max="9978" width="11.28515625" style="22" customWidth="1"/>
    <col min="9979" max="9979" width="16.7109375" style="22" customWidth="1"/>
    <col min="9980" max="9980" width="8.85546875" style="22" customWidth="1"/>
    <col min="9981" max="9981" width="29" style="22" customWidth="1"/>
    <col min="9982" max="10230" width="9.140625" style="22"/>
    <col min="10231" max="10231" width="3.28515625" style="22" customWidth="1"/>
    <col min="10232" max="10232" width="29" style="22" customWidth="1"/>
    <col min="10233" max="10233" width="14" style="22" customWidth="1"/>
    <col min="10234" max="10234" width="11.28515625" style="22" customWidth="1"/>
    <col min="10235" max="10235" width="16.7109375" style="22" customWidth="1"/>
    <col min="10236" max="10236" width="8.85546875" style="22" customWidth="1"/>
    <col min="10237" max="10237" width="29" style="22" customWidth="1"/>
    <col min="10238" max="10486" width="9.140625" style="22"/>
    <col min="10487" max="10487" width="3.28515625" style="22" customWidth="1"/>
    <col min="10488" max="10488" width="29" style="22" customWidth="1"/>
    <col min="10489" max="10489" width="14" style="22" customWidth="1"/>
    <col min="10490" max="10490" width="11.28515625" style="22" customWidth="1"/>
    <col min="10491" max="10491" width="16.7109375" style="22" customWidth="1"/>
    <col min="10492" max="10492" width="8.85546875" style="22" customWidth="1"/>
    <col min="10493" max="10493" width="29" style="22" customWidth="1"/>
    <col min="10494" max="10742" width="9.140625" style="22"/>
    <col min="10743" max="10743" width="3.28515625" style="22" customWidth="1"/>
    <col min="10744" max="10744" width="29" style="22" customWidth="1"/>
    <col min="10745" max="10745" width="14" style="22" customWidth="1"/>
    <col min="10746" max="10746" width="11.28515625" style="22" customWidth="1"/>
    <col min="10747" max="10747" width="16.7109375" style="22" customWidth="1"/>
    <col min="10748" max="10748" width="8.85546875" style="22" customWidth="1"/>
    <col min="10749" max="10749" width="29" style="22" customWidth="1"/>
    <col min="10750" max="10998" width="9.140625" style="22"/>
    <col min="10999" max="10999" width="3.28515625" style="22" customWidth="1"/>
    <col min="11000" max="11000" width="29" style="22" customWidth="1"/>
    <col min="11001" max="11001" width="14" style="22" customWidth="1"/>
    <col min="11002" max="11002" width="11.28515625" style="22" customWidth="1"/>
    <col min="11003" max="11003" width="16.7109375" style="22" customWidth="1"/>
    <col min="11004" max="11004" width="8.85546875" style="22" customWidth="1"/>
    <col min="11005" max="11005" width="29" style="22" customWidth="1"/>
    <col min="11006" max="11254" width="9.140625" style="22"/>
    <col min="11255" max="11255" width="3.28515625" style="22" customWidth="1"/>
    <col min="11256" max="11256" width="29" style="22" customWidth="1"/>
    <col min="11257" max="11257" width="14" style="22" customWidth="1"/>
    <col min="11258" max="11258" width="11.28515625" style="22" customWidth="1"/>
    <col min="11259" max="11259" width="16.7109375" style="22" customWidth="1"/>
    <col min="11260" max="11260" width="8.85546875" style="22" customWidth="1"/>
    <col min="11261" max="11261" width="29" style="22" customWidth="1"/>
    <col min="11262" max="11510" width="9.140625" style="22"/>
    <col min="11511" max="11511" width="3.28515625" style="22" customWidth="1"/>
    <col min="11512" max="11512" width="29" style="22" customWidth="1"/>
    <col min="11513" max="11513" width="14" style="22" customWidth="1"/>
    <col min="11514" max="11514" width="11.28515625" style="22" customWidth="1"/>
    <col min="11515" max="11515" width="16.7109375" style="22" customWidth="1"/>
    <col min="11516" max="11516" width="8.85546875" style="22" customWidth="1"/>
    <col min="11517" max="11517" width="29" style="22" customWidth="1"/>
    <col min="11518" max="11766" width="9.140625" style="22"/>
    <col min="11767" max="11767" width="3.28515625" style="22" customWidth="1"/>
    <col min="11768" max="11768" width="29" style="22" customWidth="1"/>
    <col min="11769" max="11769" width="14" style="22" customWidth="1"/>
    <col min="11770" max="11770" width="11.28515625" style="22" customWidth="1"/>
    <col min="11771" max="11771" width="16.7109375" style="22" customWidth="1"/>
    <col min="11772" max="11772" width="8.85546875" style="22" customWidth="1"/>
    <col min="11773" max="11773" width="29" style="22" customWidth="1"/>
    <col min="11774" max="12022" width="9.140625" style="22"/>
    <col min="12023" max="12023" width="3.28515625" style="22" customWidth="1"/>
    <col min="12024" max="12024" width="29" style="22" customWidth="1"/>
    <col min="12025" max="12025" width="14" style="22" customWidth="1"/>
    <col min="12026" max="12026" width="11.28515625" style="22" customWidth="1"/>
    <col min="12027" max="12027" width="16.7109375" style="22" customWidth="1"/>
    <col min="12028" max="12028" width="8.85546875" style="22" customWidth="1"/>
    <col min="12029" max="12029" width="29" style="22" customWidth="1"/>
    <col min="12030" max="12278" width="9.140625" style="22"/>
    <col min="12279" max="12279" width="3.28515625" style="22" customWidth="1"/>
    <col min="12280" max="12280" width="29" style="22" customWidth="1"/>
    <col min="12281" max="12281" width="14" style="22" customWidth="1"/>
    <col min="12282" max="12282" width="11.28515625" style="22" customWidth="1"/>
    <col min="12283" max="12283" width="16.7109375" style="22" customWidth="1"/>
    <col min="12284" max="12284" width="8.85546875" style="22" customWidth="1"/>
    <col min="12285" max="12285" width="29" style="22" customWidth="1"/>
    <col min="12286" max="12534" width="9.140625" style="22"/>
    <col min="12535" max="12535" width="3.28515625" style="22" customWidth="1"/>
    <col min="12536" max="12536" width="29" style="22" customWidth="1"/>
    <col min="12537" max="12537" width="14" style="22" customWidth="1"/>
    <col min="12538" max="12538" width="11.28515625" style="22" customWidth="1"/>
    <col min="12539" max="12539" width="16.7109375" style="22" customWidth="1"/>
    <col min="12540" max="12540" width="8.85546875" style="22" customWidth="1"/>
    <col min="12541" max="12541" width="29" style="22" customWidth="1"/>
    <col min="12542" max="12790" width="9.140625" style="22"/>
    <col min="12791" max="12791" width="3.28515625" style="22" customWidth="1"/>
    <col min="12792" max="12792" width="29" style="22" customWidth="1"/>
    <col min="12793" max="12793" width="14" style="22" customWidth="1"/>
    <col min="12794" max="12794" width="11.28515625" style="22" customWidth="1"/>
    <col min="12795" max="12795" width="16.7109375" style="22" customWidth="1"/>
    <col min="12796" max="12796" width="8.85546875" style="22" customWidth="1"/>
    <col min="12797" max="12797" width="29" style="22" customWidth="1"/>
    <col min="12798" max="13046" width="9.140625" style="22"/>
    <col min="13047" max="13047" width="3.28515625" style="22" customWidth="1"/>
    <col min="13048" max="13048" width="29" style="22" customWidth="1"/>
    <col min="13049" max="13049" width="14" style="22" customWidth="1"/>
    <col min="13050" max="13050" width="11.28515625" style="22" customWidth="1"/>
    <col min="13051" max="13051" width="16.7109375" style="22" customWidth="1"/>
    <col min="13052" max="13052" width="8.85546875" style="22" customWidth="1"/>
    <col min="13053" max="13053" width="29" style="22" customWidth="1"/>
    <col min="13054" max="13302" width="9.140625" style="22"/>
    <col min="13303" max="13303" width="3.28515625" style="22" customWidth="1"/>
    <col min="13304" max="13304" width="29" style="22" customWidth="1"/>
    <col min="13305" max="13305" width="14" style="22" customWidth="1"/>
    <col min="13306" max="13306" width="11.28515625" style="22" customWidth="1"/>
    <col min="13307" max="13307" width="16.7109375" style="22" customWidth="1"/>
    <col min="13308" max="13308" width="8.85546875" style="22" customWidth="1"/>
    <col min="13309" max="13309" width="29" style="22" customWidth="1"/>
    <col min="13310" max="13558" width="9.140625" style="22"/>
    <col min="13559" max="13559" width="3.28515625" style="22" customWidth="1"/>
    <col min="13560" max="13560" width="29" style="22" customWidth="1"/>
    <col min="13561" max="13561" width="14" style="22" customWidth="1"/>
    <col min="13562" max="13562" width="11.28515625" style="22" customWidth="1"/>
    <col min="13563" max="13563" width="16.7109375" style="22" customWidth="1"/>
    <col min="13564" max="13564" width="8.85546875" style="22" customWidth="1"/>
    <col min="13565" max="13565" width="29" style="22" customWidth="1"/>
    <col min="13566" max="13814" width="9.140625" style="22"/>
    <col min="13815" max="13815" width="3.28515625" style="22" customWidth="1"/>
    <col min="13816" max="13816" width="29" style="22" customWidth="1"/>
    <col min="13817" max="13817" width="14" style="22" customWidth="1"/>
    <col min="13818" max="13818" width="11.28515625" style="22" customWidth="1"/>
    <col min="13819" max="13819" width="16.7109375" style="22" customWidth="1"/>
    <col min="13820" max="13820" width="8.85546875" style="22" customWidth="1"/>
    <col min="13821" max="13821" width="29" style="22" customWidth="1"/>
    <col min="13822" max="14070" width="9.140625" style="22"/>
    <col min="14071" max="14071" width="3.28515625" style="22" customWidth="1"/>
    <col min="14072" max="14072" width="29" style="22" customWidth="1"/>
    <col min="14073" max="14073" width="14" style="22" customWidth="1"/>
    <col min="14074" max="14074" width="11.28515625" style="22" customWidth="1"/>
    <col min="14075" max="14075" width="16.7109375" style="22" customWidth="1"/>
    <col min="14076" max="14076" width="8.85546875" style="22" customWidth="1"/>
    <col min="14077" max="14077" width="29" style="22" customWidth="1"/>
    <col min="14078" max="14326" width="9.140625" style="22"/>
    <col min="14327" max="14327" width="3.28515625" style="22" customWidth="1"/>
    <col min="14328" max="14328" width="29" style="22" customWidth="1"/>
    <col min="14329" max="14329" width="14" style="22" customWidth="1"/>
    <col min="14330" max="14330" width="11.28515625" style="22" customWidth="1"/>
    <col min="14331" max="14331" width="16.7109375" style="22" customWidth="1"/>
    <col min="14332" max="14332" width="8.85546875" style="22" customWidth="1"/>
    <col min="14333" max="14333" width="29" style="22" customWidth="1"/>
    <col min="14334" max="14582" width="9.140625" style="22"/>
    <col min="14583" max="14583" width="3.28515625" style="22" customWidth="1"/>
    <col min="14584" max="14584" width="29" style="22" customWidth="1"/>
    <col min="14585" max="14585" width="14" style="22" customWidth="1"/>
    <col min="14586" max="14586" width="11.28515625" style="22" customWidth="1"/>
    <col min="14587" max="14587" width="16.7109375" style="22" customWidth="1"/>
    <col min="14588" max="14588" width="8.85546875" style="22" customWidth="1"/>
    <col min="14589" max="14589" width="29" style="22" customWidth="1"/>
    <col min="14590" max="14838" width="9.140625" style="22"/>
    <col min="14839" max="14839" width="3.28515625" style="22" customWidth="1"/>
    <col min="14840" max="14840" width="29" style="22" customWidth="1"/>
    <col min="14841" max="14841" width="14" style="22" customWidth="1"/>
    <col min="14842" max="14842" width="11.28515625" style="22" customWidth="1"/>
    <col min="14843" max="14843" width="16.7109375" style="22" customWidth="1"/>
    <col min="14844" max="14844" width="8.85546875" style="22" customWidth="1"/>
    <col min="14845" max="14845" width="29" style="22" customWidth="1"/>
    <col min="14846" max="15094" width="9.140625" style="22"/>
    <col min="15095" max="15095" width="3.28515625" style="22" customWidth="1"/>
    <col min="15096" max="15096" width="29" style="22" customWidth="1"/>
    <col min="15097" max="15097" width="14" style="22" customWidth="1"/>
    <col min="15098" max="15098" width="11.28515625" style="22" customWidth="1"/>
    <col min="15099" max="15099" width="16.7109375" style="22" customWidth="1"/>
    <col min="15100" max="15100" width="8.85546875" style="22" customWidth="1"/>
    <col min="15101" max="15101" width="29" style="22" customWidth="1"/>
    <col min="15102" max="15350" width="9.140625" style="22"/>
    <col min="15351" max="15351" width="3.28515625" style="22" customWidth="1"/>
    <col min="15352" max="15352" width="29" style="22" customWidth="1"/>
    <col min="15353" max="15353" width="14" style="22" customWidth="1"/>
    <col min="15354" max="15354" width="11.28515625" style="22" customWidth="1"/>
    <col min="15355" max="15355" width="16.7109375" style="22" customWidth="1"/>
    <col min="15356" max="15356" width="8.85546875" style="22" customWidth="1"/>
    <col min="15357" max="15357" width="29" style="22" customWidth="1"/>
    <col min="15358" max="15606" width="9.140625" style="22"/>
    <col min="15607" max="15607" width="3.28515625" style="22" customWidth="1"/>
    <col min="15608" max="15608" width="29" style="22" customWidth="1"/>
    <col min="15609" max="15609" width="14" style="22" customWidth="1"/>
    <col min="15610" max="15610" width="11.28515625" style="22" customWidth="1"/>
    <col min="15611" max="15611" width="16.7109375" style="22" customWidth="1"/>
    <col min="15612" max="15612" width="8.85546875" style="22" customWidth="1"/>
    <col min="15613" max="15613" width="29" style="22" customWidth="1"/>
    <col min="15614" max="15862" width="9.140625" style="22"/>
    <col min="15863" max="15863" width="3.28515625" style="22" customWidth="1"/>
    <col min="15864" max="15864" width="29" style="22" customWidth="1"/>
    <col min="15865" max="15865" width="14" style="22" customWidth="1"/>
    <col min="15866" max="15866" width="11.28515625" style="22" customWidth="1"/>
    <col min="15867" max="15867" width="16.7109375" style="22" customWidth="1"/>
    <col min="15868" max="15868" width="8.85546875" style="22" customWidth="1"/>
    <col min="15869" max="15869" width="29" style="22" customWidth="1"/>
    <col min="15870" max="16118" width="9.140625" style="22"/>
    <col min="16119" max="16119" width="3.28515625" style="22" customWidth="1"/>
    <col min="16120" max="16120" width="29" style="22" customWidth="1"/>
    <col min="16121" max="16121" width="14" style="22" customWidth="1"/>
    <col min="16122" max="16122" width="11.28515625" style="22" customWidth="1"/>
    <col min="16123" max="16123" width="16.7109375" style="22" customWidth="1"/>
    <col min="16124" max="16124" width="8.85546875" style="22" customWidth="1"/>
    <col min="16125" max="16125" width="29" style="22" customWidth="1"/>
    <col min="16126" max="16384" width="9.140625" style="22"/>
  </cols>
  <sheetData>
    <row r="1" spans="1:246" x14ac:dyDescent="0.25">
      <c r="C1" s="209"/>
      <c r="D1" s="209"/>
      <c r="E1" s="209"/>
      <c r="F1" s="209"/>
      <c r="G1" s="209"/>
      <c r="H1" s="209"/>
      <c r="I1" s="209"/>
      <c r="J1" s="209"/>
      <c r="K1" s="246"/>
    </row>
    <row r="2" spans="1:246" ht="23.25" x14ac:dyDescent="0.35">
      <c r="A2" s="210"/>
      <c r="B2" s="210"/>
      <c r="C2" s="401" t="s">
        <v>246</v>
      </c>
      <c r="D2" s="401"/>
      <c r="E2" s="401"/>
      <c r="F2" s="401"/>
      <c r="G2" s="401"/>
      <c r="H2" s="401"/>
      <c r="I2" s="401"/>
      <c r="J2" s="401"/>
      <c r="K2" s="244"/>
    </row>
    <row r="3" spans="1:246" x14ac:dyDescent="0.25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46"/>
    </row>
    <row r="4" spans="1:246" ht="21" customHeight="1" x14ac:dyDescent="0.25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46"/>
    </row>
    <row r="5" spans="1:246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46"/>
      <c r="L5" s="259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  <c r="IL5" s="211"/>
    </row>
    <row r="6" spans="1:246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46"/>
      <c r="L6" s="259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  <c r="IL6" s="211"/>
    </row>
    <row r="7" spans="1:246" x14ac:dyDescent="0.25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46"/>
      <c r="L7" s="260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  <c r="IL7" s="212"/>
    </row>
    <row r="8" spans="1:246" x14ac:dyDescent="0.25">
      <c r="A8" s="209"/>
      <c r="B8" s="209"/>
      <c r="C8" s="209"/>
      <c r="D8" s="209"/>
      <c r="E8" s="209"/>
      <c r="F8" s="209"/>
      <c r="G8" s="209"/>
      <c r="I8" s="209"/>
      <c r="J8" s="209"/>
      <c r="K8" s="246"/>
    </row>
    <row r="9" spans="1:246" ht="15.75" customHeight="1" x14ac:dyDescent="0.25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45"/>
    </row>
    <row r="10" spans="1:246" ht="15.75" customHeight="1" x14ac:dyDescent="0.25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45"/>
    </row>
    <row r="11" spans="1:246" ht="15" customHeight="1" x14ac:dyDescent="0.25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46"/>
    </row>
    <row r="12" spans="1:246" ht="16.5" customHeight="1" x14ac:dyDescent="0.25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46"/>
    </row>
    <row r="13" spans="1:246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6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6" ht="44.25" customHeight="1" x14ac:dyDescent="0.25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46"/>
    </row>
    <row r="16" spans="1:246" ht="66" customHeight="1" x14ac:dyDescent="0.25">
      <c r="A16" s="399" t="s">
        <v>280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47"/>
    </row>
    <row r="17" spans="1:255" ht="66" customHeight="1" x14ac:dyDescent="0.25">
      <c r="A17" s="399" t="s">
        <v>272</v>
      </c>
      <c r="B17" s="399"/>
      <c r="C17" s="399"/>
      <c r="D17" s="399"/>
      <c r="E17" s="399"/>
      <c r="F17" s="399"/>
      <c r="G17" s="399"/>
      <c r="H17" s="399"/>
      <c r="I17" s="399"/>
      <c r="J17" s="399"/>
      <c r="K17" s="247"/>
    </row>
    <row r="18" spans="1:255" ht="4.5" customHeight="1" x14ac:dyDescent="0.2">
      <c r="A18" s="372"/>
      <c r="B18" s="372"/>
      <c r="C18" s="372"/>
      <c r="D18" s="372"/>
      <c r="E18" s="372"/>
      <c r="F18" s="372"/>
      <c r="G18" s="210"/>
      <c r="H18" s="399"/>
      <c r="I18" s="399"/>
      <c r="J18" s="399"/>
      <c r="K18" s="399"/>
    </row>
    <row r="19" spans="1:255" s="215" customFormat="1" ht="45" x14ac:dyDescent="0.25">
      <c r="A19" s="241" t="s">
        <v>275</v>
      </c>
      <c r="B19" s="214" t="s">
        <v>70</v>
      </c>
      <c r="C19" s="108" t="s">
        <v>133</v>
      </c>
      <c r="D19" s="109" t="s">
        <v>82</v>
      </c>
      <c r="E19" s="109" t="s">
        <v>255</v>
      </c>
      <c r="F19" s="109" t="s">
        <v>256</v>
      </c>
      <c r="G19" s="109" t="s">
        <v>257</v>
      </c>
      <c r="H19" s="109" t="s">
        <v>129</v>
      </c>
      <c r="I19" s="109" t="s">
        <v>130</v>
      </c>
      <c r="J19" s="109" t="s">
        <v>258</v>
      </c>
      <c r="K19" s="248"/>
      <c r="L19" s="261"/>
    </row>
    <row r="20" spans="1:255" s="220" customFormat="1" ht="76.5" x14ac:dyDescent="0.2">
      <c r="A20" s="396">
        <v>1</v>
      </c>
      <c r="B20" s="216">
        <v>1</v>
      </c>
      <c r="C20" s="140" t="s">
        <v>304</v>
      </c>
      <c r="D20" s="140" t="s">
        <v>278</v>
      </c>
      <c r="E20" s="217">
        <v>10</v>
      </c>
      <c r="F20" s="218">
        <f>E20*2</f>
        <v>20</v>
      </c>
      <c r="G20" s="219">
        <v>9777</v>
      </c>
      <c r="H20" s="219">
        <f t="shared" ref="H20:H26" si="0">G20*2</f>
        <v>19554</v>
      </c>
      <c r="I20" s="219">
        <f t="shared" ref="I20:I26" si="1">H20*E20</f>
        <v>195540</v>
      </c>
      <c r="J20" s="219">
        <f t="shared" ref="J20:J26" si="2">I20*12</f>
        <v>2346480</v>
      </c>
      <c r="K20" s="265">
        <f>J20/E20</f>
        <v>234648</v>
      </c>
      <c r="L20" s="262">
        <v>1</v>
      </c>
    </row>
    <row r="21" spans="1:255" s="220" customFormat="1" ht="25.5" x14ac:dyDescent="0.2">
      <c r="A21" s="397"/>
      <c r="B21" s="216">
        <v>2</v>
      </c>
      <c r="C21" s="140" t="s">
        <v>305</v>
      </c>
      <c r="D21" s="140" t="s">
        <v>85</v>
      </c>
      <c r="E21" s="217">
        <v>2</v>
      </c>
      <c r="F21" s="218">
        <f t="shared" ref="F21:F26" si="3">E21*2</f>
        <v>4</v>
      </c>
      <c r="G21" s="219">
        <v>10618</v>
      </c>
      <c r="H21" s="219">
        <f t="shared" si="0"/>
        <v>21236</v>
      </c>
      <c r="I21" s="219">
        <f t="shared" si="1"/>
        <v>42472</v>
      </c>
      <c r="J21" s="219">
        <f t="shared" si="2"/>
        <v>509664</v>
      </c>
      <c r="K21" s="265">
        <f t="shared" ref="K21:K26" si="4">J21/E21</f>
        <v>254832</v>
      </c>
      <c r="L21" s="262">
        <v>2</v>
      </c>
    </row>
    <row r="22" spans="1:255" s="220" customFormat="1" ht="25.5" x14ac:dyDescent="0.2">
      <c r="A22" s="397"/>
      <c r="B22" s="216">
        <v>3</v>
      </c>
      <c r="C22" s="140" t="s">
        <v>306</v>
      </c>
      <c r="D22" s="140" t="s">
        <v>84</v>
      </c>
      <c r="E22" s="217">
        <v>1</v>
      </c>
      <c r="F22" s="218">
        <f t="shared" si="3"/>
        <v>2</v>
      </c>
      <c r="G22" s="219">
        <v>9777</v>
      </c>
      <c r="H22" s="219">
        <f t="shared" si="0"/>
        <v>19554</v>
      </c>
      <c r="I22" s="219">
        <f t="shared" si="1"/>
        <v>19554</v>
      </c>
      <c r="J22" s="219">
        <f t="shared" si="2"/>
        <v>234648</v>
      </c>
      <c r="K22" s="265">
        <f t="shared" si="4"/>
        <v>234648</v>
      </c>
      <c r="L22" s="262">
        <v>3</v>
      </c>
    </row>
    <row r="23" spans="1:255" s="220" customFormat="1" ht="25.5" x14ac:dyDescent="0.2">
      <c r="A23" s="397"/>
      <c r="B23" s="216">
        <v>4</v>
      </c>
      <c r="C23" s="140" t="s">
        <v>307</v>
      </c>
      <c r="D23" s="140" t="s">
        <v>85</v>
      </c>
      <c r="E23" s="217">
        <v>10</v>
      </c>
      <c r="F23" s="218">
        <f t="shared" si="3"/>
        <v>20</v>
      </c>
      <c r="G23" s="219">
        <v>10695</v>
      </c>
      <c r="H23" s="219">
        <f t="shared" si="0"/>
        <v>21390</v>
      </c>
      <c r="I23" s="219">
        <f t="shared" si="1"/>
        <v>213900</v>
      </c>
      <c r="J23" s="219">
        <f t="shared" si="2"/>
        <v>2566800</v>
      </c>
      <c r="K23" s="265">
        <f t="shared" si="4"/>
        <v>256680</v>
      </c>
      <c r="L23" s="262">
        <v>4</v>
      </c>
    </row>
    <row r="24" spans="1:255" s="220" customFormat="1" ht="25.5" x14ac:dyDescent="0.2">
      <c r="A24" s="397"/>
      <c r="B24" s="216">
        <v>5</v>
      </c>
      <c r="C24" s="140" t="s">
        <v>308</v>
      </c>
      <c r="D24" s="140" t="s">
        <v>84</v>
      </c>
      <c r="E24" s="217">
        <v>2</v>
      </c>
      <c r="F24" s="218">
        <f t="shared" si="3"/>
        <v>4</v>
      </c>
      <c r="G24" s="219">
        <v>9777</v>
      </c>
      <c r="H24" s="219">
        <f t="shared" si="0"/>
        <v>19554</v>
      </c>
      <c r="I24" s="219">
        <f t="shared" si="1"/>
        <v>39108</v>
      </c>
      <c r="J24" s="219">
        <f t="shared" si="2"/>
        <v>469296</v>
      </c>
      <c r="K24" s="265">
        <f t="shared" si="4"/>
        <v>234648</v>
      </c>
      <c r="L24" s="262">
        <v>5</v>
      </c>
    </row>
    <row r="25" spans="1:255" s="220" customFormat="1" ht="63.75" x14ac:dyDescent="0.2">
      <c r="A25" s="397"/>
      <c r="B25" s="216">
        <v>6</v>
      </c>
      <c r="C25" s="140" t="s">
        <v>309</v>
      </c>
      <c r="D25" s="140" t="s">
        <v>279</v>
      </c>
      <c r="E25" s="217">
        <v>2</v>
      </c>
      <c r="F25" s="218">
        <f t="shared" si="3"/>
        <v>4</v>
      </c>
      <c r="G25" s="219">
        <v>11629</v>
      </c>
      <c r="H25" s="219">
        <f>G25*2</f>
        <v>23258</v>
      </c>
      <c r="I25" s="219">
        <f t="shared" si="1"/>
        <v>46516</v>
      </c>
      <c r="J25" s="219">
        <f t="shared" si="2"/>
        <v>558192</v>
      </c>
      <c r="K25" s="265">
        <f>J25/E25</f>
        <v>279096</v>
      </c>
      <c r="L25" s="262">
        <v>6</v>
      </c>
    </row>
    <row r="26" spans="1:255" s="220" customFormat="1" ht="63.75" x14ac:dyDescent="0.2">
      <c r="A26" s="397"/>
      <c r="B26" s="216">
        <v>7</v>
      </c>
      <c r="C26" s="140" t="s">
        <v>310</v>
      </c>
      <c r="D26" s="140" t="s">
        <v>279</v>
      </c>
      <c r="E26" s="217">
        <v>1</v>
      </c>
      <c r="F26" s="218">
        <f t="shared" si="3"/>
        <v>2</v>
      </c>
      <c r="G26" s="219">
        <v>10618</v>
      </c>
      <c r="H26" s="219">
        <f t="shared" si="0"/>
        <v>21236</v>
      </c>
      <c r="I26" s="219">
        <f t="shared" si="1"/>
        <v>21236</v>
      </c>
      <c r="J26" s="219">
        <f t="shared" si="2"/>
        <v>254832</v>
      </c>
      <c r="K26" s="265">
        <f t="shared" si="4"/>
        <v>254832</v>
      </c>
      <c r="L26" s="262">
        <v>6</v>
      </c>
    </row>
    <row r="27" spans="1:255" s="215" customFormat="1" ht="15.75" customHeight="1" x14ac:dyDescent="0.2">
      <c r="A27" s="383" t="s">
        <v>259</v>
      </c>
      <c r="B27" s="384"/>
      <c r="C27" s="384"/>
      <c r="D27" s="384"/>
      <c r="E27" s="221">
        <f>SUM(E20:E26)</f>
        <v>28</v>
      </c>
      <c r="F27" s="222">
        <f>SUM(F20:F26)</f>
        <v>56</v>
      </c>
      <c r="G27" s="223"/>
      <c r="H27" s="224"/>
      <c r="I27" s="224">
        <f>SUM(I20:I26)</f>
        <v>578326</v>
      </c>
      <c r="J27" s="224">
        <f>SUM(J20:J26)</f>
        <v>6939912</v>
      </c>
      <c r="K27" s="256"/>
      <c r="L27" s="261"/>
    </row>
    <row r="28" spans="1:255" s="215" customFormat="1" ht="15" customHeight="1" x14ac:dyDescent="0.2">
      <c r="A28" s="385"/>
      <c r="B28" s="386"/>
      <c r="C28" s="386"/>
      <c r="D28" s="386"/>
      <c r="E28" s="386"/>
      <c r="F28" s="386"/>
      <c r="G28" s="386"/>
      <c r="H28" s="386"/>
      <c r="I28" s="386"/>
      <c r="J28" s="386"/>
      <c r="K28" s="249"/>
      <c r="L28" s="263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  <c r="DM28" s="225"/>
      <c r="DN28" s="225"/>
      <c r="DO28" s="225"/>
      <c r="DP28" s="225"/>
      <c r="DQ28" s="225"/>
      <c r="DR28" s="225"/>
      <c r="DS28" s="225"/>
      <c r="DT28" s="225"/>
      <c r="DU28" s="225"/>
      <c r="DV28" s="225"/>
      <c r="DW28" s="225"/>
      <c r="DX28" s="225"/>
      <c r="DY28" s="225"/>
      <c r="DZ28" s="225"/>
      <c r="EA28" s="225"/>
      <c r="EB28" s="225"/>
      <c r="EC28" s="225"/>
      <c r="ED28" s="225"/>
      <c r="EE28" s="225"/>
      <c r="EF28" s="225"/>
      <c r="EG28" s="225"/>
      <c r="EH28" s="225"/>
      <c r="EI28" s="225"/>
      <c r="EJ28" s="225"/>
      <c r="EK28" s="225"/>
      <c r="EL28" s="225"/>
      <c r="EM28" s="225"/>
      <c r="EN28" s="225"/>
      <c r="EO28" s="225"/>
      <c r="EP28" s="225"/>
      <c r="EQ28" s="225"/>
      <c r="ER28" s="225"/>
      <c r="ES28" s="225"/>
      <c r="ET28" s="225"/>
      <c r="EU28" s="225"/>
      <c r="EV28" s="225"/>
      <c r="EW28" s="225"/>
      <c r="EX28" s="225"/>
      <c r="EY28" s="225"/>
      <c r="EZ28" s="225"/>
      <c r="FA28" s="225"/>
      <c r="FB28" s="225"/>
      <c r="FC28" s="225"/>
      <c r="FD28" s="225"/>
      <c r="FE28" s="225"/>
      <c r="FF28" s="225"/>
      <c r="FG28" s="225"/>
      <c r="FH28" s="225"/>
      <c r="FI28" s="225"/>
      <c r="FJ28" s="225"/>
      <c r="FK28" s="225"/>
      <c r="FL28" s="225"/>
      <c r="FM28" s="225"/>
      <c r="FN28" s="225"/>
      <c r="FO28" s="225"/>
      <c r="FP28" s="225"/>
      <c r="FQ28" s="225"/>
      <c r="FR28" s="225"/>
      <c r="FS28" s="225"/>
      <c r="FT28" s="225"/>
      <c r="FU28" s="225"/>
      <c r="FV28" s="225"/>
      <c r="FW28" s="225"/>
      <c r="FX28" s="225"/>
      <c r="FY28" s="225"/>
      <c r="FZ28" s="225"/>
      <c r="GA28" s="225"/>
      <c r="GB28" s="225"/>
      <c r="GC28" s="225"/>
      <c r="GD28" s="225"/>
      <c r="GE28" s="225"/>
      <c r="GF28" s="225"/>
      <c r="GG28" s="225"/>
      <c r="GH28" s="225"/>
      <c r="GI28" s="225"/>
      <c r="GJ28" s="225"/>
      <c r="GK28" s="225"/>
      <c r="GL28" s="225"/>
      <c r="GM28" s="225"/>
      <c r="GN28" s="225"/>
      <c r="GO28" s="225"/>
      <c r="GP28" s="225"/>
      <c r="GQ28" s="225"/>
      <c r="GR28" s="225"/>
      <c r="GS28" s="225"/>
      <c r="GT28" s="225"/>
      <c r="GU28" s="225"/>
      <c r="GV28" s="225"/>
      <c r="GW28" s="225"/>
      <c r="GX28" s="225"/>
      <c r="GY28" s="225"/>
      <c r="GZ28" s="225"/>
      <c r="HA28" s="225"/>
      <c r="HB28" s="225"/>
      <c r="HC28" s="225"/>
      <c r="HD28" s="225"/>
      <c r="HE28" s="225"/>
      <c r="HF28" s="225"/>
      <c r="HG28" s="225"/>
      <c r="HH28" s="225"/>
      <c r="HI28" s="225"/>
      <c r="HJ28" s="225"/>
      <c r="HK28" s="225"/>
      <c r="HL28" s="225"/>
      <c r="HM28" s="225"/>
      <c r="HN28" s="225"/>
      <c r="HO28" s="225"/>
      <c r="HP28" s="225"/>
      <c r="HQ28" s="225"/>
      <c r="HR28" s="225"/>
      <c r="HS28" s="225"/>
      <c r="HT28" s="225"/>
      <c r="HU28" s="225"/>
      <c r="HV28" s="225"/>
      <c r="HW28" s="225"/>
      <c r="HX28" s="225"/>
      <c r="HY28" s="225"/>
      <c r="HZ28" s="225"/>
      <c r="IA28" s="225"/>
      <c r="IB28" s="225"/>
      <c r="IC28" s="225"/>
      <c r="ID28" s="225"/>
      <c r="IE28" s="225"/>
      <c r="IF28" s="225"/>
      <c r="IG28" s="225"/>
      <c r="IH28" s="225"/>
      <c r="II28" s="225"/>
      <c r="IJ28" s="225"/>
      <c r="IK28" s="225"/>
      <c r="IL28" s="225"/>
      <c r="IM28" s="225"/>
      <c r="IN28" s="225"/>
      <c r="IO28" s="225"/>
      <c r="IP28" s="225"/>
      <c r="IQ28" s="225"/>
      <c r="IR28" s="225"/>
      <c r="IS28" s="225"/>
      <c r="IT28" s="225"/>
      <c r="IU28" s="225"/>
    </row>
    <row r="29" spans="1:255" s="215" customFormat="1" ht="18" customHeight="1" x14ac:dyDescent="0.2">
      <c r="A29" s="387" t="s">
        <v>260</v>
      </c>
      <c r="B29" s="387"/>
      <c r="C29" s="387"/>
      <c r="D29" s="387"/>
      <c r="E29" s="387"/>
      <c r="F29" s="387"/>
      <c r="G29" s="387"/>
      <c r="H29" s="387"/>
      <c r="I29" s="387"/>
      <c r="J29" s="226">
        <f>I27</f>
        <v>578326</v>
      </c>
      <c r="K29" s="250"/>
      <c r="L29" s="263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  <c r="DM29" s="225"/>
      <c r="DN29" s="225"/>
      <c r="DO29" s="225"/>
      <c r="DP29" s="225"/>
      <c r="DQ29" s="225"/>
      <c r="DR29" s="225"/>
      <c r="DS29" s="225"/>
      <c r="DT29" s="225"/>
      <c r="DU29" s="225"/>
      <c r="DV29" s="225"/>
      <c r="DW29" s="225"/>
      <c r="DX29" s="225"/>
      <c r="DY29" s="225"/>
      <c r="DZ29" s="225"/>
      <c r="EA29" s="225"/>
      <c r="EB29" s="225"/>
      <c r="EC29" s="225"/>
      <c r="ED29" s="225"/>
      <c r="EE29" s="225"/>
      <c r="EF29" s="225"/>
      <c r="EG29" s="225"/>
      <c r="EH29" s="225"/>
      <c r="EI29" s="225"/>
      <c r="EJ29" s="225"/>
      <c r="EK29" s="225"/>
      <c r="EL29" s="225"/>
      <c r="EM29" s="225"/>
      <c r="EN29" s="225"/>
      <c r="EO29" s="225"/>
      <c r="EP29" s="225"/>
      <c r="EQ29" s="225"/>
      <c r="ER29" s="225"/>
      <c r="ES29" s="225"/>
      <c r="ET29" s="225"/>
      <c r="EU29" s="225"/>
      <c r="EV29" s="225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5"/>
      <c r="FH29" s="225"/>
      <c r="FI29" s="225"/>
      <c r="FJ29" s="225"/>
      <c r="FK29" s="225"/>
      <c r="FL29" s="225"/>
      <c r="FM29" s="225"/>
      <c r="FN29" s="225"/>
      <c r="FO29" s="225"/>
      <c r="FP29" s="225"/>
      <c r="FQ29" s="225"/>
      <c r="FR29" s="225"/>
      <c r="FS29" s="225"/>
      <c r="FT29" s="225"/>
      <c r="FU29" s="225"/>
      <c r="FV29" s="225"/>
      <c r="FW29" s="225"/>
      <c r="FX29" s="225"/>
      <c r="FY29" s="225"/>
      <c r="FZ29" s="225"/>
      <c r="GA29" s="225"/>
      <c r="GB29" s="225"/>
      <c r="GC29" s="225"/>
      <c r="GD29" s="225"/>
      <c r="GE29" s="225"/>
      <c r="GF29" s="225"/>
      <c r="GG29" s="225"/>
      <c r="GH29" s="225"/>
      <c r="GI29" s="225"/>
      <c r="GJ29" s="225"/>
      <c r="GK29" s="225"/>
      <c r="GL29" s="225"/>
      <c r="GM29" s="225"/>
      <c r="GN29" s="225"/>
      <c r="GO29" s="225"/>
      <c r="GP29" s="225"/>
      <c r="GQ29" s="225"/>
      <c r="GR29" s="225"/>
      <c r="GS29" s="225"/>
      <c r="GT29" s="225"/>
      <c r="GU29" s="225"/>
      <c r="GV29" s="225"/>
      <c r="GW29" s="225"/>
      <c r="GX29" s="225"/>
      <c r="GY29" s="225"/>
      <c r="GZ29" s="225"/>
      <c r="HA29" s="225"/>
      <c r="HB29" s="225"/>
      <c r="HC29" s="225"/>
      <c r="HD29" s="225"/>
      <c r="HE29" s="225"/>
      <c r="HF29" s="225"/>
      <c r="HG29" s="225"/>
      <c r="HH29" s="225"/>
      <c r="HI29" s="225"/>
      <c r="HJ29" s="225"/>
      <c r="HK29" s="225"/>
      <c r="HL29" s="225"/>
      <c r="HM29" s="225"/>
      <c r="HN29" s="225"/>
      <c r="HO29" s="225"/>
      <c r="HP29" s="225"/>
      <c r="HQ29" s="225"/>
      <c r="HR29" s="225"/>
      <c r="HS29" s="225"/>
      <c r="HT29" s="225"/>
      <c r="HU29" s="225"/>
      <c r="HV29" s="225"/>
      <c r="HW29" s="225"/>
      <c r="HX29" s="225"/>
      <c r="HY29" s="225"/>
      <c r="HZ29" s="225"/>
      <c r="IA29" s="225"/>
      <c r="IB29" s="225"/>
      <c r="IC29" s="225"/>
      <c r="ID29" s="225"/>
      <c r="IE29" s="225"/>
      <c r="IF29" s="225"/>
      <c r="IG29" s="225"/>
      <c r="IH29" s="225"/>
      <c r="II29" s="225"/>
      <c r="IJ29" s="225"/>
      <c r="IK29" s="225"/>
      <c r="IL29" s="225"/>
      <c r="IM29" s="225"/>
      <c r="IN29" s="225"/>
      <c r="IO29" s="225"/>
      <c r="IP29" s="225"/>
      <c r="IQ29" s="225"/>
      <c r="IR29" s="225"/>
      <c r="IS29" s="225"/>
      <c r="IT29" s="225"/>
      <c r="IU29" s="225"/>
    </row>
    <row r="30" spans="1:255" s="215" customFormat="1" ht="15" customHeight="1" x14ac:dyDescent="0.2">
      <c r="A30" s="388" t="s">
        <v>320</v>
      </c>
      <c r="B30" s="389"/>
      <c r="C30" s="389"/>
      <c r="D30" s="389"/>
      <c r="E30" s="389"/>
      <c r="F30" s="389"/>
      <c r="G30" s="389"/>
      <c r="H30" s="389"/>
      <c r="I30" s="389"/>
      <c r="J30" s="389"/>
      <c r="K30" s="251"/>
      <c r="L30" s="261"/>
    </row>
    <row r="31" spans="1:255" s="215" customFormat="1" ht="5.25" customHeight="1" x14ac:dyDescent="0.2">
      <c r="A31" s="385"/>
      <c r="B31" s="386"/>
      <c r="C31" s="386"/>
      <c r="D31" s="386"/>
      <c r="E31" s="386"/>
      <c r="F31" s="386"/>
      <c r="G31" s="386"/>
      <c r="H31" s="386"/>
      <c r="I31" s="386"/>
      <c r="J31" s="390"/>
      <c r="K31" s="249"/>
      <c r="L31" s="263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  <c r="IU31" s="225"/>
    </row>
    <row r="32" spans="1:255" s="215" customFormat="1" ht="19.5" customHeight="1" x14ac:dyDescent="0.2">
      <c r="A32" s="387" t="s">
        <v>261</v>
      </c>
      <c r="B32" s="387"/>
      <c r="C32" s="387"/>
      <c r="D32" s="387"/>
      <c r="E32" s="387"/>
      <c r="F32" s="387"/>
      <c r="G32" s="387"/>
      <c r="H32" s="387"/>
      <c r="I32" s="387"/>
      <c r="J32" s="227">
        <v>12</v>
      </c>
      <c r="K32" s="252"/>
      <c r="L32" s="261"/>
    </row>
    <row r="33" spans="1:255" s="215" customFormat="1" ht="5.25" customHeight="1" x14ac:dyDescent="0.2">
      <c r="A33" s="385"/>
      <c r="B33" s="386"/>
      <c r="C33" s="386"/>
      <c r="D33" s="386"/>
      <c r="E33" s="386"/>
      <c r="F33" s="386"/>
      <c r="G33" s="386"/>
      <c r="H33" s="386"/>
      <c r="I33" s="386"/>
      <c r="J33" s="390"/>
      <c r="K33" s="253"/>
      <c r="L33" s="263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</row>
    <row r="34" spans="1:255" s="215" customFormat="1" ht="15" customHeight="1" x14ac:dyDescent="0.2">
      <c r="A34" s="391" t="s">
        <v>262</v>
      </c>
      <c r="B34" s="391"/>
      <c r="C34" s="391"/>
      <c r="D34" s="391"/>
      <c r="E34" s="391"/>
      <c r="F34" s="391"/>
      <c r="G34" s="391"/>
      <c r="H34" s="391"/>
      <c r="I34" s="391"/>
      <c r="J34" s="228">
        <f>J27</f>
        <v>6939912</v>
      </c>
      <c r="K34" s="254"/>
      <c r="L34" s="264">
        <f>J34+[1]Proposta!$J$19</f>
        <v>14888407.685048344</v>
      </c>
    </row>
    <row r="35" spans="1:255" s="215" customFormat="1" ht="15" customHeight="1" x14ac:dyDescent="0.2">
      <c r="A35" s="388" t="s">
        <v>321</v>
      </c>
      <c r="B35" s="389"/>
      <c r="C35" s="389"/>
      <c r="D35" s="389"/>
      <c r="E35" s="389"/>
      <c r="F35" s="389"/>
      <c r="G35" s="389"/>
      <c r="H35" s="389"/>
      <c r="I35" s="389"/>
      <c r="J35" s="392"/>
      <c r="K35" s="255"/>
      <c r="L35" s="261"/>
    </row>
    <row r="36" spans="1:255" ht="18" customHeight="1" x14ac:dyDescent="0.25">
      <c r="A36" s="393" t="s">
        <v>193</v>
      </c>
      <c r="B36" s="394"/>
      <c r="C36" s="394"/>
      <c r="D36" s="394"/>
      <c r="E36" s="394"/>
      <c r="F36" s="394"/>
      <c r="G36" s="394"/>
      <c r="H36" s="394"/>
      <c r="I36" s="394"/>
      <c r="J36" s="395"/>
      <c r="K36" s="246"/>
    </row>
    <row r="37" spans="1:255" ht="17.100000000000001" customHeight="1" x14ac:dyDescent="0.2">
      <c r="A37" s="375" t="s">
        <v>263</v>
      </c>
      <c r="B37" s="375"/>
      <c r="C37" s="375"/>
      <c r="D37" s="375"/>
      <c r="E37" s="375"/>
      <c r="F37" s="375"/>
      <c r="G37" s="375"/>
      <c r="H37" s="375"/>
    </row>
    <row r="38" spans="1:255" ht="17.100000000000001" customHeight="1" x14ac:dyDescent="0.2">
      <c r="A38" s="375" t="s">
        <v>264</v>
      </c>
      <c r="B38" s="375"/>
      <c r="C38" s="375"/>
      <c r="D38" s="375"/>
      <c r="E38" s="375"/>
      <c r="F38" s="375"/>
      <c r="G38" s="375"/>
      <c r="H38" s="375"/>
    </row>
    <row r="39" spans="1:255" ht="17.100000000000001" customHeight="1" x14ac:dyDescent="0.25">
      <c r="A39" s="375" t="s">
        <v>265</v>
      </c>
      <c r="B39" s="375"/>
      <c r="C39" s="375"/>
      <c r="D39" s="375"/>
      <c r="E39" s="229"/>
      <c r="F39" s="229"/>
      <c r="G39" s="229"/>
      <c r="H39" s="376" t="s">
        <v>266</v>
      </c>
      <c r="I39" s="376"/>
      <c r="J39" s="376"/>
    </row>
    <row r="40" spans="1:255" ht="17.100000000000001" customHeight="1" x14ac:dyDescent="0.25">
      <c r="A40" s="375" t="s">
        <v>194</v>
      </c>
      <c r="B40" s="375"/>
      <c r="C40" s="375"/>
      <c r="D40" s="375"/>
      <c r="E40" s="229"/>
      <c r="F40" s="229"/>
      <c r="G40" s="229"/>
      <c r="H40" s="376" t="s">
        <v>267</v>
      </c>
      <c r="I40" s="376"/>
      <c r="J40" s="376"/>
    </row>
    <row r="41" spans="1:255" ht="17.100000000000001" customHeight="1" x14ac:dyDescent="0.25">
      <c r="A41" s="375" t="s">
        <v>268</v>
      </c>
      <c r="B41" s="375"/>
      <c r="C41" s="375"/>
      <c r="D41" s="375"/>
      <c r="E41" s="229"/>
      <c r="F41" s="229"/>
      <c r="G41" s="229"/>
      <c r="H41" s="376" t="s">
        <v>269</v>
      </c>
      <c r="I41" s="376"/>
      <c r="J41" s="376"/>
    </row>
    <row r="42" spans="1:255" ht="17.100000000000001" customHeight="1" x14ac:dyDescent="0.25">
      <c r="A42" s="375" t="s">
        <v>195</v>
      </c>
      <c r="B42" s="375"/>
      <c r="C42" s="375"/>
      <c r="D42" s="375"/>
      <c r="E42" s="230"/>
      <c r="F42" s="230"/>
      <c r="G42" s="230"/>
      <c r="H42" s="376" t="s">
        <v>270</v>
      </c>
      <c r="I42" s="376"/>
      <c r="J42" s="376"/>
    </row>
    <row r="43" spans="1:255" ht="33.75" customHeight="1" x14ac:dyDescent="0.25">
      <c r="A43" s="377" t="s">
        <v>271</v>
      </c>
      <c r="B43" s="378"/>
      <c r="C43" s="378"/>
      <c r="D43" s="378"/>
      <c r="E43" s="378"/>
      <c r="F43" s="378"/>
      <c r="G43" s="378"/>
      <c r="H43" s="378"/>
      <c r="I43" s="378"/>
      <c r="J43" s="379"/>
      <c r="K43" s="246"/>
    </row>
    <row r="44" spans="1:255" ht="82.5" customHeight="1" x14ac:dyDescent="0.25">
      <c r="A44" s="380" t="s">
        <v>273</v>
      </c>
      <c r="B44" s="381"/>
      <c r="C44" s="381"/>
      <c r="D44" s="381"/>
      <c r="E44" s="381"/>
      <c r="F44" s="381"/>
      <c r="G44" s="381"/>
      <c r="H44" s="381"/>
      <c r="I44" s="381"/>
      <c r="J44" s="382"/>
      <c r="K44" s="246"/>
    </row>
    <row r="45" spans="1:255" ht="26.25" customHeight="1" x14ac:dyDescent="0.25">
      <c r="A45" s="368" t="s">
        <v>316</v>
      </c>
      <c r="B45" s="369"/>
      <c r="C45" s="369"/>
      <c r="D45" s="369"/>
      <c r="E45" s="369"/>
      <c r="F45" s="369"/>
      <c r="G45" s="369"/>
      <c r="H45" s="369"/>
      <c r="I45" s="369"/>
      <c r="J45" s="370"/>
      <c r="K45" s="246"/>
    </row>
    <row r="46" spans="1:255" ht="25.5" customHeight="1" x14ac:dyDescent="0.25">
      <c r="A46" s="368" t="s">
        <v>317</v>
      </c>
      <c r="B46" s="369"/>
      <c r="C46" s="369"/>
      <c r="D46" s="369"/>
      <c r="E46" s="369"/>
      <c r="F46" s="369"/>
      <c r="G46" s="369"/>
      <c r="H46" s="369"/>
      <c r="I46" s="369"/>
      <c r="J46" s="370"/>
      <c r="K46" s="246"/>
    </row>
    <row r="47" spans="1:255" ht="39" customHeight="1" x14ac:dyDescent="0.25">
      <c r="A47" s="368" t="s">
        <v>318</v>
      </c>
      <c r="B47" s="369"/>
      <c r="C47" s="369"/>
      <c r="D47" s="369"/>
      <c r="E47" s="369"/>
      <c r="F47" s="369"/>
      <c r="G47" s="369"/>
      <c r="H47" s="369"/>
      <c r="I47" s="369"/>
      <c r="J47" s="370"/>
      <c r="K47" s="246"/>
    </row>
    <row r="48" spans="1:255" ht="27.75" customHeight="1" x14ac:dyDescent="0.25">
      <c r="A48" s="368" t="s">
        <v>319</v>
      </c>
      <c r="B48" s="369"/>
      <c r="C48" s="369"/>
      <c r="D48" s="369"/>
      <c r="E48" s="369"/>
      <c r="F48" s="369"/>
      <c r="G48" s="369"/>
      <c r="H48" s="369"/>
      <c r="I48" s="369"/>
      <c r="J48" s="370"/>
      <c r="K48" s="246"/>
    </row>
    <row r="49" spans="1:11" x14ac:dyDescent="0.25">
      <c r="A49" s="371"/>
      <c r="B49" s="372"/>
      <c r="C49" s="372"/>
      <c r="D49" s="372"/>
      <c r="E49" s="372"/>
      <c r="F49" s="372"/>
      <c r="G49" s="210"/>
      <c r="I49" s="209"/>
      <c r="J49" s="231"/>
      <c r="K49" s="246"/>
    </row>
    <row r="50" spans="1:11" x14ac:dyDescent="0.25">
      <c r="A50" s="373"/>
      <c r="B50" s="374"/>
      <c r="C50" s="374"/>
      <c r="D50" s="374"/>
      <c r="E50" s="374"/>
      <c r="F50" s="374"/>
      <c r="G50" s="374"/>
      <c r="H50" s="374"/>
      <c r="I50" s="209"/>
      <c r="J50" s="231"/>
      <c r="K50" s="246"/>
    </row>
    <row r="51" spans="1:11" x14ac:dyDescent="0.25">
      <c r="A51" s="373"/>
      <c r="B51" s="374"/>
      <c r="C51" s="374"/>
      <c r="D51" s="374"/>
      <c r="E51" s="374"/>
      <c r="F51" s="374"/>
      <c r="G51" s="374"/>
      <c r="H51" s="374"/>
      <c r="I51" s="209"/>
      <c r="J51" s="231"/>
      <c r="K51" s="246"/>
    </row>
    <row r="52" spans="1:11" x14ac:dyDescent="0.25">
      <c r="A52" s="373"/>
      <c r="B52" s="374"/>
      <c r="C52" s="374"/>
      <c r="D52" s="374"/>
      <c r="E52" s="374"/>
      <c r="F52" s="374"/>
      <c r="G52" s="374"/>
      <c r="H52" s="374"/>
      <c r="I52" s="209"/>
      <c r="J52" s="231"/>
      <c r="K52" s="246"/>
    </row>
    <row r="53" spans="1:11" x14ac:dyDescent="0.25">
      <c r="A53" s="373"/>
      <c r="B53" s="374"/>
      <c r="C53" s="374"/>
      <c r="D53" s="374"/>
      <c r="E53" s="374"/>
      <c r="F53" s="374"/>
      <c r="G53" s="374"/>
      <c r="H53" s="374"/>
      <c r="I53" s="209"/>
      <c r="J53" s="231"/>
      <c r="K53" s="246"/>
    </row>
    <row r="54" spans="1:11" x14ac:dyDescent="0.25">
      <c r="A54" s="232"/>
      <c r="B54" s="233"/>
      <c r="C54" s="233"/>
      <c r="D54" s="233"/>
      <c r="E54" s="233"/>
      <c r="F54" s="233"/>
      <c r="G54" s="233"/>
      <c r="H54" s="234"/>
      <c r="I54" s="233"/>
      <c r="J54" s="235"/>
      <c r="K54" s="246"/>
    </row>
    <row r="55" spans="1:11" x14ac:dyDescent="0.25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46"/>
    </row>
  </sheetData>
  <mergeCells count="46">
    <mergeCell ref="A47:J47"/>
    <mergeCell ref="A48:J48"/>
    <mergeCell ref="A49:F49"/>
    <mergeCell ref="A50:H53"/>
    <mergeCell ref="A42:D42"/>
    <mergeCell ref="H42:J42"/>
    <mergeCell ref="A43:J43"/>
    <mergeCell ref="A44:J44"/>
    <mergeCell ref="A45:J45"/>
    <mergeCell ref="A46:J46"/>
    <mergeCell ref="A39:D39"/>
    <mergeCell ref="H39:J39"/>
    <mergeCell ref="A40:D40"/>
    <mergeCell ref="H40:J40"/>
    <mergeCell ref="A41:D41"/>
    <mergeCell ref="H41:J41"/>
    <mergeCell ref="A38:H38"/>
    <mergeCell ref="A27:D27"/>
    <mergeCell ref="A28:J28"/>
    <mergeCell ref="A29:I29"/>
    <mergeCell ref="A30:J30"/>
    <mergeCell ref="A31:J31"/>
    <mergeCell ref="A32:I32"/>
    <mergeCell ref="A33:J33"/>
    <mergeCell ref="A34:I34"/>
    <mergeCell ref="A35:J35"/>
    <mergeCell ref="A36:J36"/>
    <mergeCell ref="A37:H37"/>
    <mergeCell ref="A20:A26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F18"/>
    <mergeCell ref="H18:K18"/>
    <mergeCell ref="A10:J10"/>
    <mergeCell ref="C2:J2"/>
    <mergeCell ref="A5:H5"/>
    <mergeCell ref="A6:H6"/>
    <mergeCell ref="A7:H7"/>
    <mergeCell ref="A9:J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1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7"/>
  <sheetViews>
    <sheetView showGridLines="0" view="pageBreakPreview" zoomScale="112" zoomScaleNormal="100" zoomScaleSheetLayoutView="112" workbookViewId="0">
      <selection activeCell="G10" sqref="G10"/>
    </sheetView>
  </sheetViews>
  <sheetFormatPr defaultRowHeight="15" x14ac:dyDescent="0.2"/>
  <cols>
    <col min="1" max="1" width="6.85546875" style="22" customWidth="1"/>
    <col min="2" max="2" width="5" style="22" bestFit="1" customWidth="1"/>
    <col min="3" max="3" width="19.28515625" style="22" bestFit="1" customWidth="1"/>
    <col min="4" max="4" width="8.85546875" style="22" bestFit="1" customWidth="1"/>
    <col min="5" max="5" width="9.140625" style="22" bestFit="1" customWidth="1"/>
    <col min="6" max="6" width="14.140625" style="22" customWidth="1"/>
    <col min="7" max="7" width="13.42578125" style="22" bestFit="1" customWidth="1"/>
    <col min="8" max="8" width="15.28515625" style="22" customWidth="1"/>
    <col min="9" max="9" width="15.28515625" style="22" bestFit="1" customWidth="1"/>
    <col min="10" max="10" width="11" style="22" bestFit="1" customWidth="1"/>
    <col min="11" max="243" width="9.140625" style="22"/>
    <col min="244" max="244" width="3.28515625" style="22" customWidth="1"/>
    <col min="245" max="245" width="29" style="22" customWidth="1"/>
    <col min="246" max="246" width="14" style="22" customWidth="1"/>
    <col min="247" max="247" width="11.28515625" style="22" customWidth="1"/>
    <col min="248" max="248" width="16.7109375" style="22" customWidth="1"/>
    <col min="249" max="249" width="8.85546875" style="22" customWidth="1"/>
    <col min="250" max="250" width="29" style="22" customWidth="1"/>
    <col min="251" max="499" width="9.140625" style="22"/>
    <col min="500" max="500" width="3.28515625" style="22" customWidth="1"/>
    <col min="501" max="501" width="29" style="22" customWidth="1"/>
    <col min="502" max="502" width="14" style="22" customWidth="1"/>
    <col min="503" max="503" width="11.28515625" style="22" customWidth="1"/>
    <col min="504" max="504" width="16.7109375" style="22" customWidth="1"/>
    <col min="505" max="505" width="8.85546875" style="22" customWidth="1"/>
    <col min="506" max="506" width="29" style="22" customWidth="1"/>
    <col min="507" max="755" width="9.140625" style="22"/>
    <col min="756" max="756" width="3.28515625" style="22" customWidth="1"/>
    <col min="757" max="757" width="29" style="22" customWidth="1"/>
    <col min="758" max="758" width="14" style="22" customWidth="1"/>
    <col min="759" max="759" width="11.28515625" style="22" customWidth="1"/>
    <col min="760" max="760" width="16.7109375" style="22" customWidth="1"/>
    <col min="761" max="761" width="8.85546875" style="22" customWidth="1"/>
    <col min="762" max="762" width="29" style="22" customWidth="1"/>
    <col min="763" max="1011" width="9.140625" style="22"/>
    <col min="1012" max="1012" width="3.28515625" style="22" customWidth="1"/>
    <col min="1013" max="1013" width="29" style="22" customWidth="1"/>
    <col min="1014" max="1014" width="14" style="22" customWidth="1"/>
    <col min="1015" max="1015" width="11.28515625" style="22" customWidth="1"/>
    <col min="1016" max="1016" width="16.7109375" style="22" customWidth="1"/>
    <col min="1017" max="1017" width="8.85546875" style="22" customWidth="1"/>
    <col min="1018" max="1018" width="29" style="22" customWidth="1"/>
    <col min="1019" max="1267" width="9.140625" style="22"/>
    <col min="1268" max="1268" width="3.28515625" style="22" customWidth="1"/>
    <col min="1269" max="1269" width="29" style="22" customWidth="1"/>
    <col min="1270" max="1270" width="14" style="22" customWidth="1"/>
    <col min="1271" max="1271" width="11.28515625" style="22" customWidth="1"/>
    <col min="1272" max="1272" width="16.7109375" style="22" customWidth="1"/>
    <col min="1273" max="1273" width="8.85546875" style="22" customWidth="1"/>
    <col min="1274" max="1274" width="29" style="22" customWidth="1"/>
    <col min="1275" max="1523" width="9.140625" style="22"/>
    <col min="1524" max="1524" width="3.28515625" style="22" customWidth="1"/>
    <col min="1525" max="1525" width="29" style="22" customWidth="1"/>
    <col min="1526" max="1526" width="14" style="22" customWidth="1"/>
    <col min="1527" max="1527" width="11.28515625" style="22" customWidth="1"/>
    <col min="1528" max="1528" width="16.7109375" style="22" customWidth="1"/>
    <col min="1529" max="1529" width="8.85546875" style="22" customWidth="1"/>
    <col min="1530" max="1530" width="29" style="22" customWidth="1"/>
    <col min="1531" max="1779" width="9.140625" style="22"/>
    <col min="1780" max="1780" width="3.28515625" style="22" customWidth="1"/>
    <col min="1781" max="1781" width="29" style="22" customWidth="1"/>
    <col min="1782" max="1782" width="14" style="22" customWidth="1"/>
    <col min="1783" max="1783" width="11.28515625" style="22" customWidth="1"/>
    <col min="1784" max="1784" width="16.7109375" style="22" customWidth="1"/>
    <col min="1785" max="1785" width="8.85546875" style="22" customWidth="1"/>
    <col min="1786" max="1786" width="29" style="22" customWidth="1"/>
    <col min="1787" max="2035" width="9.140625" style="22"/>
    <col min="2036" max="2036" width="3.28515625" style="22" customWidth="1"/>
    <col min="2037" max="2037" width="29" style="22" customWidth="1"/>
    <col min="2038" max="2038" width="14" style="22" customWidth="1"/>
    <col min="2039" max="2039" width="11.28515625" style="22" customWidth="1"/>
    <col min="2040" max="2040" width="16.7109375" style="22" customWidth="1"/>
    <col min="2041" max="2041" width="8.85546875" style="22" customWidth="1"/>
    <col min="2042" max="2042" width="29" style="22" customWidth="1"/>
    <col min="2043" max="2291" width="9.140625" style="22"/>
    <col min="2292" max="2292" width="3.28515625" style="22" customWidth="1"/>
    <col min="2293" max="2293" width="29" style="22" customWidth="1"/>
    <col min="2294" max="2294" width="14" style="22" customWidth="1"/>
    <col min="2295" max="2295" width="11.28515625" style="22" customWidth="1"/>
    <col min="2296" max="2296" width="16.7109375" style="22" customWidth="1"/>
    <col min="2297" max="2297" width="8.85546875" style="22" customWidth="1"/>
    <col min="2298" max="2298" width="29" style="22" customWidth="1"/>
    <col min="2299" max="2547" width="9.140625" style="22"/>
    <col min="2548" max="2548" width="3.28515625" style="22" customWidth="1"/>
    <col min="2549" max="2549" width="29" style="22" customWidth="1"/>
    <col min="2550" max="2550" width="14" style="22" customWidth="1"/>
    <col min="2551" max="2551" width="11.28515625" style="22" customWidth="1"/>
    <col min="2552" max="2552" width="16.7109375" style="22" customWidth="1"/>
    <col min="2553" max="2553" width="8.85546875" style="22" customWidth="1"/>
    <col min="2554" max="2554" width="29" style="22" customWidth="1"/>
    <col min="2555" max="2803" width="9.140625" style="22"/>
    <col min="2804" max="2804" width="3.28515625" style="22" customWidth="1"/>
    <col min="2805" max="2805" width="29" style="22" customWidth="1"/>
    <col min="2806" max="2806" width="14" style="22" customWidth="1"/>
    <col min="2807" max="2807" width="11.28515625" style="22" customWidth="1"/>
    <col min="2808" max="2808" width="16.7109375" style="22" customWidth="1"/>
    <col min="2809" max="2809" width="8.85546875" style="22" customWidth="1"/>
    <col min="2810" max="2810" width="29" style="22" customWidth="1"/>
    <col min="2811" max="3059" width="9.140625" style="22"/>
    <col min="3060" max="3060" width="3.28515625" style="22" customWidth="1"/>
    <col min="3061" max="3061" width="29" style="22" customWidth="1"/>
    <col min="3062" max="3062" width="14" style="22" customWidth="1"/>
    <col min="3063" max="3063" width="11.28515625" style="22" customWidth="1"/>
    <col min="3064" max="3064" width="16.7109375" style="22" customWidth="1"/>
    <col min="3065" max="3065" width="8.85546875" style="22" customWidth="1"/>
    <col min="3066" max="3066" width="29" style="22" customWidth="1"/>
    <col min="3067" max="3315" width="9.140625" style="22"/>
    <col min="3316" max="3316" width="3.28515625" style="22" customWidth="1"/>
    <col min="3317" max="3317" width="29" style="22" customWidth="1"/>
    <col min="3318" max="3318" width="14" style="22" customWidth="1"/>
    <col min="3319" max="3319" width="11.28515625" style="22" customWidth="1"/>
    <col min="3320" max="3320" width="16.7109375" style="22" customWidth="1"/>
    <col min="3321" max="3321" width="8.85546875" style="22" customWidth="1"/>
    <col min="3322" max="3322" width="29" style="22" customWidth="1"/>
    <col min="3323" max="3571" width="9.140625" style="22"/>
    <col min="3572" max="3572" width="3.28515625" style="22" customWidth="1"/>
    <col min="3573" max="3573" width="29" style="22" customWidth="1"/>
    <col min="3574" max="3574" width="14" style="22" customWidth="1"/>
    <col min="3575" max="3575" width="11.28515625" style="22" customWidth="1"/>
    <col min="3576" max="3576" width="16.7109375" style="22" customWidth="1"/>
    <col min="3577" max="3577" width="8.85546875" style="22" customWidth="1"/>
    <col min="3578" max="3578" width="29" style="22" customWidth="1"/>
    <col min="3579" max="3827" width="9.140625" style="22"/>
    <col min="3828" max="3828" width="3.28515625" style="22" customWidth="1"/>
    <col min="3829" max="3829" width="29" style="22" customWidth="1"/>
    <col min="3830" max="3830" width="14" style="22" customWidth="1"/>
    <col min="3831" max="3831" width="11.28515625" style="22" customWidth="1"/>
    <col min="3832" max="3832" width="16.7109375" style="22" customWidth="1"/>
    <col min="3833" max="3833" width="8.85546875" style="22" customWidth="1"/>
    <col min="3834" max="3834" width="29" style="22" customWidth="1"/>
    <col min="3835" max="4083" width="9.140625" style="22"/>
    <col min="4084" max="4084" width="3.28515625" style="22" customWidth="1"/>
    <col min="4085" max="4085" width="29" style="22" customWidth="1"/>
    <col min="4086" max="4086" width="14" style="22" customWidth="1"/>
    <col min="4087" max="4087" width="11.28515625" style="22" customWidth="1"/>
    <col min="4088" max="4088" width="16.7109375" style="22" customWidth="1"/>
    <col min="4089" max="4089" width="8.85546875" style="22" customWidth="1"/>
    <col min="4090" max="4090" width="29" style="22" customWidth="1"/>
    <col min="4091" max="4339" width="9.140625" style="22"/>
    <col min="4340" max="4340" width="3.28515625" style="22" customWidth="1"/>
    <col min="4341" max="4341" width="29" style="22" customWidth="1"/>
    <col min="4342" max="4342" width="14" style="22" customWidth="1"/>
    <col min="4343" max="4343" width="11.28515625" style="22" customWidth="1"/>
    <col min="4344" max="4344" width="16.7109375" style="22" customWidth="1"/>
    <col min="4345" max="4345" width="8.85546875" style="22" customWidth="1"/>
    <col min="4346" max="4346" width="29" style="22" customWidth="1"/>
    <col min="4347" max="4595" width="9.140625" style="22"/>
    <col min="4596" max="4596" width="3.28515625" style="22" customWidth="1"/>
    <col min="4597" max="4597" width="29" style="22" customWidth="1"/>
    <col min="4598" max="4598" width="14" style="22" customWidth="1"/>
    <col min="4599" max="4599" width="11.28515625" style="22" customWidth="1"/>
    <col min="4600" max="4600" width="16.7109375" style="22" customWidth="1"/>
    <col min="4601" max="4601" width="8.85546875" style="22" customWidth="1"/>
    <col min="4602" max="4602" width="29" style="22" customWidth="1"/>
    <col min="4603" max="4851" width="9.140625" style="22"/>
    <col min="4852" max="4852" width="3.28515625" style="22" customWidth="1"/>
    <col min="4853" max="4853" width="29" style="22" customWidth="1"/>
    <col min="4854" max="4854" width="14" style="22" customWidth="1"/>
    <col min="4855" max="4855" width="11.28515625" style="22" customWidth="1"/>
    <col min="4856" max="4856" width="16.7109375" style="22" customWidth="1"/>
    <col min="4857" max="4857" width="8.85546875" style="22" customWidth="1"/>
    <col min="4858" max="4858" width="29" style="22" customWidth="1"/>
    <col min="4859" max="5107" width="9.140625" style="22"/>
    <col min="5108" max="5108" width="3.28515625" style="22" customWidth="1"/>
    <col min="5109" max="5109" width="29" style="22" customWidth="1"/>
    <col min="5110" max="5110" width="14" style="22" customWidth="1"/>
    <col min="5111" max="5111" width="11.28515625" style="22" customWidth="1"/>
    <col min="5112" max="5112" width="16.7109375" style="22" customWidth="1"/>
    <col min="5113" max="5113" width="8.85546875" style="22" customWidth="1"/>
    <col min="5114" max="5114" width="29" style="22" customWidth="1"/>
    <col min="5115" max="5363" width="9.140625" style="22"/>
    <col min="5364" max="5364" width="3.28515625" style="22" customWidth="1"/>
    <col min="5365" max="5365" width="29" style="22" customWidth="1"/>
    <col min="5366" max="5366" width="14" style="22" customWidth="1"/>
    <col min="5367" max="5367" width="11.28515625" style="22" customWidth="1"/>
    <col min="5368" max="5368" width="16.7109375" style="22" customWidth="1"/>
    <col min="5369" max="5369" width="8.85546875" style="22" customWidth="1"/>
    <col min="5370" max="5370" width="29" style="22" customWidth="1"/>
    <col min="5371" max="5619" width="9.140625" style="22"/>
    <col min="5620" max="5620" width="3.28515625" style="22" customWidth="1"/>
    <col min="5621" max="5621" width="29" style="22" customWidth="1"/>
    <col min="5622" max="5622" width="14" style="22" customWidth="1"/>
    <col min="5623" max="5623" width="11.28515625" style="22" customWidth="1"/>
    <col min="5624" max="5624" width="16.7109375" style="22" customWidth="1"/>
    <col min="5625" max="5625" width="8.85546875" style="22" customWidth="1"/>
    <col min="5626" max="5626" width="29" style="22" customWidth="1"/>
    <col min="5627" max="5875" width="9.140625" style="22"/>
    <col min="5876" max="5876" width="3.28515625" style="22" customWidth="1"/>
    <col min="5877" max="5877" width="29" style="22" customWidth="1"/>
    <col min="5878" max="5878" width="14" style="22" customWidth="1"/>
    <col min="5879" max="5879" width="11.28515625" style="22" customWidth="1"/>
    <col min="5880" max="5880" width="16.7109375" style="22" customWidth="1"/>
    <col min="5881" max="5881" width="8.85546875" style="22" customWidth="1"/>
    <col min="5882" max="5882" width="29" style="22" customWidth="1"/>
    <col min="5883" max="6131" width="9.140625" style="22"/>
    <col min="6132" max="6132" width="3.28515625" style="22" customWidth="1"/>
    <col min="6133" max="6133" width="29" style="22" customWidth="1"/>
    <col min="6134" max="6134" width="14" style="22" customWidth="1"/>
    <col min="6135" max="6135" width="11.28515625" style="22" customWidth="1"/>
    <col min="6136" max="6136" width="16.7109375" style="22" customWidth="1"/>
    <col min="6137" max="6137" width="8.85546875" style="22" customWidth="1"/>
    <col min="6138" max="6138" width="29" style="22" customWidth="1"/>
    <col min="6139" max="6387" width="9.140625" style="22"/>
    <col min="6388" max="6388" width="3.28515625" style="22" customWidth="1"/>
    <col min="6389" max="6389" width="29" style="22" customWidth="1"/>
    <col min="6390" max="6390" width="14" style="22" customWidth="1"/>
    <col min="6391" max="6391" width="11.28515625" style="22" customWidth="1"/>
    <col min="6392" max="6392" width="16.7109375" style="22" customWidth="1"/>
    <col min="6393" max="6393" width="8.85546875" style="22" customWidth="1"/>
    <col min="6394" max="6394" width="29" style="22" customWidth="1"/>
    <col min="6395" max="6643" width="9.140625" style="22"/>
    <col min="6644" max="6644" width="3.28515625" style="22" customWidth="1"/>
    <col min="6645" max="6645" width="29" style="22" customWidth="1"/>
    <col min="6646" max="6646" width="14" style="22" customWidth="1"/>
    <col min="6647" max="6647" width="11.28515625" style="22" customWidth="1"/>
    <col min="6648" max="6648" width="16.7109375" style="22" customWidth="1"/>
    <col min="6649" max="6649" width="8.85546875" style="22" customWidth="1"/>
    <col min="6650" max="6650" width="29" style="22" customWidth="1"/>
    <col min="6651" max="6899" width="9.140625" style="22"/>
    <col min="6900" max="6900" width="3.28515625" style="22" customWidth="1"/>
    <col min="6901" max="6901" width="29" style="22" customWidth="1"/>
    <col min="6902" max="6902" width="14" style="22" customWidth="1"/>
    <col min="6903" max="6903" width="11.28515625" style="22" customWidth="1"/>
    <col min="6904" max="6904" width="16.7109375" style="22" customWidth="1"/>
    <col min="6905" max="6905" width="8.85546875" style="22" customWidth="1"/>
    <col min="6906" max="6906" width="29" style="22" customWidth="1"/>
    <col min="6907" max="7155" width="9.140625" style="22"/>
    <col min="7156" max="7156" width="3.28515625" style="22" customWidth="1"/>
    <col min="7157" max="7157" width="29" style="22" customWidth="1"/>
    <col min="7158" max="7158" width="14" style="22" customWidth="1"/>
    <col min="7159" max="7159" width="11.28515625" style="22" customWidth="1"/>
    <col min="7160" max="7160" width="16.7109375" style="22" customWidth="1"/>
    <col min="7161" max="7161" width="8.85546875" style="22" customWidth="1"/>
    <col min="7162" max="7162" width="29" style="22" customWidth="1"/>
    <col min="7163" max="7411" width="9.140625" style="22"/>
    <col min="7412" max="7412" width="3.28515625" style="22" customWidth="1"/>
    <col min="7413" max="7413" width="29" style="22" customWidth="1"/>
    <col min="7414" max="7414" width="14" style="22" customWidth="1"/>
    <col min="7415" max="7415" width="11.28515625" style="22" customWidth="1"/>
    <col min="7416" max="7416" width="16.7109375" style="22" customWidth="1"/>
    <col min="7417" max="7417" width="8.85546875" style="22" customWidth="1"/>
    <col min="7418" max="7418" width="29" style="22" customWidth="1"/>
    <col min="7419" max="7667" width="9.140625" style="22"/>
    <col min="7668" max="7668" width="3.28515625" style="22" customWidth="1"/>
    <col min="7669" max="7669" width="29" style="22" customWidth="1"/>
    <col min="7670" max="7670" width="14" style="22" customWidth="1"/>
    <col min="7671" max="7671" width="11.28515625" style="22" customWidth="1"/>
    <col min="7672" max="7672" width="16.7109375" style="22" customWidth="1"/>
    <col min="7673" max="7673" width="8.85546875" style="22" customWidth="1"/>
    <col min="7674" max="7674" width="29" style="22" customWidth="1"/>
    <col min="7675" max="7923" width="9.140625" style="22"/>
    <col min="7924" max="7924" width="3.28515625" style="22" customWidth="1"/>
    <col min="7925" max="7925" width="29" style="22" customWidth="1"/>
    <col min="7926" max="7926" width="14" style="22" customWidth="1"/>
    <col min="7927" max="7927" width="11.28515625" style="22" customWidth="1"/>
    <col min="7928" max="7928" width="16.7109375" style="22" customWidth="1"/>
    <col min="7929" max="7929" width="8.85546875" style="22" customWidth="1"/>
    <col min="7930" max="7930" width="29" style="22" customWidth="1"/>
    <col min="7931" max="8179" width="9.140625" style="22"/>
    <col min="8180" max="8180" width="3.28515625" style="22" customWidth="1"/>
    <col min="8181" max="8181" width="29" style="22" customWidth="1"/>
    <col min="8182" max="8182" width="14" style="22" customWidth="1"/>
    <col min="8183" max="8183" width="11.28515625" style="22" customWidth="1"/>
    <col min="8184" max="8184" width="16.7109375" style="22" customWidth="1"/>
    <col min="8185" max="8185" width="8.85546875" style="22" customWidth="1"/>
    <col min="8186" max="8186" width="29" style="22" customWidth="1"/>
    <col min="8187" max="8435" width="9.140625" style="22"/>
    <col min="8436" max="8436" width="3.28515625" style="22" customWidth="1"/>
    <col min="8437" max="8437" width="29" style="22" customWidth="1"/>
    <col min="8438" max="8438" width="14" style="22" customWidth="1"/>
    <col min="8439" max="8439" width="11.28515625" style="22" customWidth="1"/>
    <col min="8440" max="8440" width="16.7109375" style="22" customWidth="1"/>
    <col min="8441" max="8441" width="8.85546875" style="22" customWidth="1"/>
    <col min="8442" max="8442" width="29" style="22" customWidth="1"/>
    <col min="8443" max="8691" width="9.140625" style="22"/>
    <col min="8692" max="8692" width="3.28515625" style="22" customWidth="1"/>
    <col min="8693" max="8693" width="29" style="22" customWidth="1"/>
    <col min="8694" max="8694" width="14" style="22" customWidth="1"/>
    <col min="8695" max="8695" width="11.28515625" style="22" customWidth="1"/>
    <col min="8696" max="8696" width="16.7109375" style="22" customWidth="1"/>
    <col min="8697" max="8697" width="8.85546875" style="22" customWidth="1"/>
    <col min="8698" max="8698" width="29" style="22" customWidth="1"/>
    <col min="8699" max="8947" width="9.140625" style="22"/>
    <col min="8948" max="8948" width="3.28515625" style="22" customWidth="1"/>
    <col min="8949" max="8949" width="29" style="22" customWidth="1"/>
    <col min="8950" max="8950" width="14" style="22" customWidth="1"/>
    <col min="8951" max="8951" width="11.28515625" style="22" customWidth="1"/>
    <col min="8952" max="8952" width="16.7109375" style="22" customWidth="1"/>
    <col min="8953" max="8953" width="8.85546875" style="22" customWidth="1"/>
    <col min="8954" max="8954" width="29" style="22" customWidth="1"/>
    <col min="8955" max="9203" width="9.140625" style="22"/>
    <col min="9204" max="9204" width="3.28515625" style="22" customWidth="1"/>
    <col min="9205" max="9205" width="29" style="22" customWidth="1"/>
    <col min="9206" max="9206" width="14" style="22" customWidth="1"/>
    <col min="9207" max="9207" width="11.28515625" style="22" customWidth="1"/>
    <col min="9208" max="9208" width="16.7109375" style="22" customWidth="1"/>
    <col min="9209" max="9209" width="8.85546875" style="22" customWidth="1"/>
    <col min="9210" max="9210" width="29" style="22" customWidth="1"/>
    <col min="9211" max="9459" width="9.140625" style="22"/>
    <col min="9460" max="9460" width="3.28515625" style="22" customWidth="1"/>
    <col min="9461" max="9461" width="29" style="22" customWidth="1"/>
    <col min="9462" max="9462" width="14" style="22" customWidth="1"/>
    <col min="9463" max="9463" width="11.28515625" style="22" customWidth="1"/>
    <col min="9464" max="9464" width="16.7109375" style="22" customWidth="1"/>
    <col min="9465" max="9465" width="8.85546875" style="22" customWidth="1"/>
    <col min="9466" max="9466" width="29" style="22" customWidth="1"/>
    <col min="9467" max="9715" width="9.140625" style="22"/>
    <col min="9716" max="9716" width="3.28515625" style="22" customWidth="1"/>
    <col min="9717" max="9717" width="29" style="22" customWidth="1"/>
    <col min="9718" max="9718" width="14" style="22" customWidth="1"/>
    <col min="9719" max="9719" width="11.28515625" style="22" customWidth="1"/>
    <col min="9720" max="9720" width="16.7109375" style="22" customWidth="1"/>
    <col min="9721" max="9721" width="8.85546875" style="22" customWidth="1"/>
    <col min="9722" max="9722" width="29" style="22" customWidth="1"/>
    <col min="9723" max="9971" width="9.140625" style="22"/>
    <col min="9972" max="9972" width="3.28515625" style="22" customWidth="1"/>
    <col min="9973" max="9973" width="29" style="22" customWidth="1"/>
    <col min="9974" max="9974" width="14" style="22" customWidth="1"/>
    <col min="9975" max="9975" width="11.28515625" style="22" customWidth="1"/>
    <col min="9976" max="9976" width="16.7109375" style="22" customWidth="1"/>
    <col min="9977" max="9977" width="8.85546875" style="22" customWidth="1"/>
    <col min="9978" max="9978" width="29" style="22" customWidth="1"/>
    <col min="9979" max="10227" width="9.140625" style="22"/>
    <col min="10228" max="10228" width="3.28515625" style="22" customWidth="1"/>
    <col min="10229" max="10229" width="29" style="22" customWidth="1"/>
    <col min="10230" max="10230" width="14" style="22" customWidth="1"/>
    <col min="10231" max="10231" width="11.28515625" style="22" customWidth="1"/>
    <col min="10232" max="10232" width="16.7109375" style="22" customWidth="1"/>
    <col min="10233" max="10233" width="8.85546875" style="22" customWidth="1"/>
    <col min="10234" max="10234" width="29" style="22" customWidth="1"/>
    <col min="10235" max="10483" width="9.140625" style="22"/>
    <col min="10484" max="10484" width="3.28515625" style="22" customWidth="1"/>
    <col min="10485" max="10485" width="29" style="22" customWidth="1"/>
    <col min="10486" max="10486" width="14" style="22" customWidth="1"/>
    <col min="10487" max="10487" width="11.28515625" style="22" customWidth="1"/>
    <col min="10488" max="10488" width="16.7109375" style="22" customWidth="1"/>
    <col min="10489" max="10489" width="8.85546875" style="22" customWidth="1"/>
    <col min="10490" max="10490" width="29" style="22" customWidth="1"/>
    <col min="10491" max="10739" width="9.140625" style="22"/>
    <col min="10740" max="10740" width="3.28515625" style="22" customWidth="1"/>
    <col min="10741" max="10741" width="29" style="22" customWidth="1"/>
    <col min="10742" max="10742" width="14" style="22" customWidth="1"/>
    <col min="10743" max="10743" width="11.28515625" style="22" customWidth="1"/>
    <col min="10744" max="10744" width="16.7109375" style="22" customWidth="1"/>
    <col min="10745" max="10745" width="8.85546875" style="22" customWidth="1"/>
    <col min="10746" max="10746" width="29" style="22" customWidth="1"/>
    <col min="10747" max="10995" width="9.140625" style="22"/>
    <col min="10996" max="10996" width="3.28515625" style="22" customWidth="1"/>
    <col min="10997" max="10997" width="29" style="22" customWidth="1"/>
    <col min="10998" max="10998" width="14" style="22" customWidth="1"/>
    <col min="10999" max="10999" width="11.28515625" style="22" customWidth="1"/>
    <col min="11000" max="11000" width="16.7109375" style="22" customWidth="1"/>
    <col min="11001" max="11001" width="8.85546875" style="22" customWidth="1"/>
    <col min="11002" max="11002" width="29" style="22" customWidth="1"/>
    <col min="11003" max="11251" width="9.140625" style="22"/>
    <col min="11252" max="11252" width="3.28515625" style="22" customWidth="1"/>
    <col min="11253" max="11253" width="29" style="22" customWidth="1"/>
    <col min="11254" max="11254" width="14" style="22" customWidth="1"/>
    <col min="11255" max="11255" width="11.28515625" style="22" customWidth="1"/>
    <col min="11256" max="11256" width="16.7109375" style="22" customWidth="1"/>
    <col min="11257" max="11257" width="8.85546875" style="22" customWidth="1"/>
    <col min="11258" max="11258" width="29" style="22" customWidth="1"/>
    <col min="11259" max="11507" width="9.140625" style="22"/>
    <col min="11508" max="11508" width="3.28515625" style="22" customWidth="1"/>
    <col min="11509" max="11509" width="29" style="22" customWidth="1"/>
    <col min="11510" max="11510" width="14" style="22" customWidth="1"/>
    <col min="11511" max="11511" width="11.28515625" style="22" customWidth="1"/>
    <col min="11512" max="11512" width="16.7109375" style="22" customWidth="1"/>
    <col min="11513" max="11513" width="8.85546875" style="22" customWidth="1"/>
    <col min="11514" max="11514" width="29" style="22" customWidth="1"/>
    <col min="11515" max="11763" width="9.140625" style="22"/>
    <col min="11764" max="11764" width="3.28515625" style="22" customWidth="1"/>
    <col min="11765" max="11765" width="29" style="22" customWidth="1"/>
    <col min="11766" max="11766" width="14" style="22" customWidth="1"/>
    <col min="11767" max="11767" width="11.28515625" style="22" customWidth="1"/>
    <col min="11768" max="11768" width="16.7109375" style="22" customWidth="1"/>
    <col min="11769" max="11769" width="8.85546875" style="22" customWidth="1"/>
    <col min="11770" max="11770" width="29" style="22" customWidth="1"/>
    <col min="11771" max="12019" width="9.140625" style="22"/>
    <col min="12020" max="12020" width="3.28515625" style="22" customWidth="1"/>
    <col min="12021" max="12021" width="29" style="22" customWidth="1"/>
    <col min="12022" max="12022" width="14" style="22" customWidth="1"/>
    <col min="12023" max="12023" width="11.28515625" style="22" customWidth="1"/>
    <col min="12024" max="12024" width="16.7109375" style="22" customWidth="1"/>
    <col min="12025" max="12025" width="8.85546875" style="22" customWidth="1"/>
    <col min="12026" max="12026" width="29" style="22" customWidth="1"/>
    <col min="12027" max="12275" width="9.140625" style="22"/>
    <col min="12276" max="12276" width="3.28515625" style="22" customWidth="1"/>
    <col min="12277" max="12277" width="29" style="22" customWidth="1"/>
    <col min="12278" max="12278" width="14" style="22" customWidth="1"/>
    <col min="12279" max="12279" width="11.28515625" style="22" customWidth="1"/>
    <col min="12280" max="12280" width="16.7109375" style="22" customWidth="1"/>
    <col min="12281" max="12281" width="8.85546875" style="22" customWidth="1"/>
    <col min="12282" max="12282" width="29" style="22" customWidth="1"/>
    <col min="12283" max="12531" width="9.140625" style="22"/>
    <col min="12532" max="12532" width="3.28515625" style="22" customWidth="1"/>
    <col min="12533" max="12533" width="29" style="22" customWidth="1"/>
    <col min="12534" max="12534" width="14" style="22" customWidth="1"/>
    <col min="12535" max="12535" width="11.28515625" style="22" customWidth="1"/>
    <col min="12536" max="12536" width="16.7109375" style="22" customWidth="1"/>
    <col min="12537" max="12537" width="8.85546875" style="22" customWidth="1"/>
    <col min="12538" max="12538" width="29" style="22" customWidth="1"/>
    <col min="12539" max="12787" width="9.140625" style="22"/>
    <col min="12788" max="12788" width="3.28515625" style="22" customWidth="1"/>
    <col min="12789" max="12789" width="29" style="22" customWidth="1"/>
    <col min="12790" max="12790" width="14" style="22" customWidth="1"/>
    <col min="12791" max="12791" width="11.28515625" style="22" customWidth="1"/>
    <col min="12792" max="12792" width="16.7109375" style="22" customWidth="1"/>
    <col min="12793" max="12793" width="8.85546875" style="22" customWidth="1"/>
    <col min="12794" max="12794" width="29" style="22" customWidth="1"/>
    <col min="12795" max="13043" width="9.140625" style="22"/>
    <col min="13044" max="13044" width="3.28515625" style="22" customWidth="1"/>
    <col min="13045" max="13045" width="29" style="22" customWidth="1"/>
    <col min="13046" max="13046" width="14" style="22" customWidth="1"/>
    <col min="13047" max="13047" width="11.28515625" style="22" customWidth="1"/>
    <col min="13048" max="13048" width="16.7109375" style="22" customWidth="1"/>
    <col min="13049" max="13049" width="8.85546875" style="22" customWidth="1"/>
    <col min="13050" max="13050" width="29" style="22" customWidth="1"/>
    <col min="13051" max="13299" width="9.140625" style="22"/>
    <col min="13300" max="13300" width="3.28515625" style="22" customWidth="1"/>
    <col min="13301" max="13301" width="29" style="22" customWidth="1"/>
    <col min="13302" max="13302" width="14" style="22" customWidth="1"/>
    <col min="13303" max="13303" width="11.28515625" style="22" customWidth="1"/>
    <col min="13304" max="13304" width="16.7109375" style="22" customWidth="1"/>
    <col min="13305" max="13305" width="8.85546875" style="22" customWidth="1"/>
    <col min="13306" max="13306" width="29" style="22" customWidth="1"/>
    <col min="13307" max="13555" width="9.140625" style="22"/>
    <col min="13556" max="13556" width="3.28515625" style="22" customWidth="1"/>
    <col min="13557" max="13557" width="29" style="22" customWidth="1"/>
    <col min="13558" max="13558" width="14" style="22" customWidth="1"/>
    <col min="13559" max="13559" width="11.28515625" style="22" customWidth="1"/>
    <col min="13560" max="13560" width="16.7109375" style="22" customWidth="1"/>
    <col min="13561" max="13561" width="8.85546875" style="22" customWidth="1"/>
    <col min="13562" max="13562" width="29" style="22" customWidth="1"/>
    <col min="13563" max="13811" width="9.140625" style="22"/>
    <col min="13812" max="13812" width="3.28515625" style="22" customWidth="1"/>
    <col min="13813" max="13813" width="29" style="22" customWidth="1"/>
    <col min="13814" max="13814" width="14" style="22" customWidth="1"/>
    <col min="13815" max="13815" width="11.28515625" style="22" customWidth="1"/>
    <col min="13816" max="13816" width="16.7109375" style="22" customWidth="1"/>
    <col min="13817" max="13817" width="8.85546875" style="22" customWidth="1"/>
    <col min="13818" max="13818" width="29" style="22" customWidth="1"/>
    <col min="13819" max="14067" width="9.140625" style="22"/>
    <col min="14068" max="14068" width="3.28515625" style="22" customWidth="1"/>
    <col min="14069" max="14069" width="29" style="22" customWidth="1"/>
    <col min="14070" max="14070" width="14" style="22" customWidth="1"/>
    <col min="14071" max="14071" width="11.28515625" style="22" customWidth="1"/>
    <col min="14072" max="14072" width="16.7109375" style="22" customWidth="1"/>
    <col min="14073" max="14073" width="8.85546875" style="22" customWidth="1"/>
    <col min="14074" max="14074" width="29" style="22" customWidth="1"/>
    <col min="14075" max="14323" width="9.140625" style="22"/>
    <col min="14324" max="14324" width="3.28515625" style="22" customWidth="1"/>
    <col min="14325" max="14325" width="29" style="22" customWidth="1"/>
    <col min="14326" max="14326" width="14" style="22" customWidth="1"/>
    <col min="14327" max="14327" width="11.28515625" style="22" customWidth="1"/>
    <col min="14328" max="14328" width="16.7109375" style="22" customWidth="1"/>
    <col min="14329" max="14329" width="8.85546875" style="22" customWidth="1"/>
    <col min="14330" max="14330" width="29" style="22" customWidth="1"/>
    <col min="14331" max="14579" width="9.140625" style="22"/>
    <col min="14580" max="14580" width="3.28515625" style="22" customWidth="1"/>
    <col min="14581" max="14581" width="29" style="22" customWidth="1"/>
    <col min="14582" max="14582" width="14" style="22" customWidth="1"/>
    <col min="14583" max="14583" width="11.28515625" style="22" customWidth="1"/>
    <col min="14584" max="14584" width="16.7109375" style="22" customWidth="1"/>
    <col min="14585" max="14585" width="8.85546875" style="22" customWidth="1"/>
    <col min="14586" max="14586" width="29" style="22" customWidth="1"/>
    <col min="14587" max="14835" width="9.140625" style="22"/>
    <col min="14836" max="14836" width="3.28515625" style="22" customWidth="1"/>
    <col min="14837" max="14837" width="29" style="22" customWidth="1"/>
    <col min="14838" max="14838" width="14" style="22" customWidth="1"/>
    <col min="14839" max="14839" width="11.28515625" style="22" customWidth="1"/>
    <col min="14840" max="14840" width="16.7109375" style="22" customWidth="1"/>
    <col min="14841" max="14841" width="8.85546875" style="22" customWidth="1"/>
    <col min="14842" max="14842" width="29" style="22" customWidth="1"/>
    <col min="14843" max="15091" width="9.140625" style="22"/>
    <col min="15092" max="15092" width="3.28515625" style="22" customWidth="1"/>
    <col min="15093" max="15093" width="29" style="22" customWidth="1"/>
    <col min="15094" max="15094" width="14" style="22" customWidth="1"/>
    <col min="15095" max="15095" width="11.28515625" style="22" customWidth="1"/>
    <col min="15096" max="15096" width="16.7109375" style="22" customWidth="1"/>
    <col min="15097" max="15097" width="8.85546875" style="22" customWidth="1"/>
    <col min="15098" max="15098" width="29" style="22" customWidth="1"/>
    <col min="15099" max="15347" width="9.140625" style="22"/>
    <col min="15348" max="15348" width="3.28515625" style="22" customWidth="1"/>
    <col min="15349" max="15349" width="29" style="22" customWidth="1"/>
    <col min="15350" max="15350" width="14" style="22" customWidth="1"/>
    <col min="15351" max="15351" width="11.28515625" style="22" customWidth="1"/>
    <col min="15352" max="15352" width="16.7109375" style="22" customWidth="1"/>
    <col min="15353" max="15353" width="8.85546875" style="22" customWidth="1"/>
    <col min="15354" max="15354" width="29" style="22" customWidth="1"/>
    <col min="15355" max="15603" width="9.140625" style="22"/>
    <col min="15604" max="15604" width="3.28515625" style="22" customWidth="1"/>
    <col min="15605" max="15605" width="29" style="22" customWidth="1"/>
    <col min="15606" max="15606" width="14" style="22" customWidth="1"/>
    <col min="15607" max="15607" width="11.28515625" style="22" customWidth="1"/>
    <col min="15608" max="15608" width="16.7109375" style="22" customWidth="1"/>
    <col min="15609" max="15609" width="8.85546875" style="22" customWidth="1"/>
    <col min="15610" max="15610" width="29" style="22" customWidth="1"/>
    <col min="15611" max="15859" width="9.140625" style="22"/>
    <col min="15860" max="15860" width="3.28515625" style="22" customWidth="1"/>
    <col min="15861" max="15861" width="29" style="22" customWidth="1"/>
    <col min="15862" max="15862" width="14" style="22" customWidth="1"/>
    <col min="15863" max="15863" width="11.28515625" style="22" customWidth="1"/>
    <col min="15864" max="15864" width="16.7109375" style="22" customWidth="1"/>
    <col min="15865" max="15865" width="8.85546875" style="22" customWidth="1"/>
    <col min="15866" max="15866" width="29" style="22" customWidth="1"/>
    <col min="15867" max="16115" width="9.140625" style="22"/>
    <col min="16116" max="16116" width="3.28515625" style="22" customWidth="1"/>
    <col min="16117" max="16117" width="29" style="22" customWidth="1"/>
    <col min="16118" max="16118" width="14" style="22" customWidth="1"/>
    <col min="16119" max="16119" width="11.28515625" style="22" customWidth="1"/>
    <col min="16120" max="16120" width="16.7109375" style="22" customWidth="1"/>
    <col min="16121" max="16121" width="8.85546875" style="22" customWidth="1"/>
    <col min="16122" max="16122" width="29" style="22" customWidth="1"/>
    <col min="16123" max="16384" width="9.140625" style="22"/>
  </cols>
  <sheetData>
    <row r="1" spans="1:10" ht="15.75" customHeight="1" x14ac:dyDescent="0.2">
      <c r="A1" s="400" t="s">
        <v>364</v>
      </c>
      <c r="B1" s="400"/>
      <c r="C1" s="400"/>
      <c r="D1" s="400"/>
      <c r="E1" s="400"/>
      <c r="F1" s="400"/>
      <c r="G1" s="400"/>
      <c r="H1" s="400"/>
      <c r="I1" s="400"/>
    </row>
    <row r="2" spans="1:10" ht="15.75" customHeight="1" x14ac:dyDescent="0.2">
      <c r="A2" s="400" t="s">
        <v>365</v>
      </c>
      <c r="B2" s="400"/>
      <c r="C2" s="400"/>
      <c r="D2" s="400"/>
      <c r="E2" s="400"/>
      <c r="F2" s="400"/>
      <c r="G2" s="400"/>
      <c r="H2" s="400"/>
      <c r="I2" s="400"/>
    </row>
    <row r="3" spans="1:10" s="215" customFormat="1" ht="45" x14ac:dyDescent="0.2">
      <c r="A3" s="241" t="s">
        <v>361</v>
      </c>
      <c r="B3" s="214" t="s">
        <v>70</v>
      </c>
      <c r="C3" s="108" t="s">
        <v>133</v>
      </c>
      <c r="D3" s="109" t="s">
        <v>82</v>
      </c>
      <c r="E3" s="109" t="s">
        <v>255</v>
      </c>
      <c r="F3" s="109" t="s">
        <v>256</v>
      </c>
      <c r="G3" s="109" t="s">
        <v>257</v>
      </c>
      <c r="H3" s="109" t="s">
        <v>129</v>
      </c>
      <c r="I3" s="109" t="s">
        <v>130</v>
      </c>
    </row>
    <row r="4" spans="1:10" s="220" customFormat="1" ht="29.25" customHeight="1" x14ac:dyDescent="0.2">
      <c r="A4" s="396">
        <v>1</v>
      </c>
      <c r="B4" s="216">
        <v>1</v>
      </c>
      <c r="C4" s="140" t="str">
        <f>'Embrapa Agroenergia'!C25</f>
        <v>Vigilância Desarmada Diurna</v>
      </c>
      <c r="D4" s="140" t="str">
        <f>'Embrapa Agroenergia'!D25</f>
        <v>Diurno</v>
      </c>
      <c r="E4" s="217">
        <f>'Embrapa Agroenergia'!E25</f>
        <v>2</v>
      </c>
      <c r="F4" s="218">
        <f>E4*2</f>
        <v>4</v>
      </c>
      <c r="G4" s="219">
        <f ca="1">'1-DD'!C131</f>
        <v>7515.6509975338686</v>
      </c>
      <c r="H4" s="219">
        <f t="shared" ref="H4:H5" ca="1" si="0">G4*2</f>
        <v>15031.301995067737</v>
      </c>
      <c r="I4" s="219">
        <f ca="1">(((H4*E4)/30)*30-0.02)</f>
        <v>30062.583990135474</v>
      </c>
      <c r="J4" s="314"/>
    </row>
    <row r="5" spans="1:10" s="220" customFormat="1" ht="25.5" x14ac:dyDescent="0.2">
      <c r="A5" s="397"/>
      <c r="B5" s="216">
        <v>2</v>
      </c>
      <c r="C5" s="140" t="str">
        <f>'Embrapa Agroenergia'!C26</f>
        <v>Vigilância Armada Noturna</v>
      </c>
      <c r="D5" s="140" t="str">
        <f>'Embrapa Agroenergia'!D26</f>
        <v>Noturno</v>
      </c>
      <c r="E5" s="217">
        <f>'Embrapa Agroenergia'!E26</f>
        <v>2</v>
      </c>
      <c r="F5" s="218">
        <f t="shared" ref="F5" si="1">E5*2</f>
        <v>4</v>
      </c>
      <c r="G5" s="219">
        <f ca="1">'2-DDM '!C131</f>
        <v>8517.7158971606732</v>
      </c>
      <c r="H5" s="219">
        <f t="shared" ca="1" si="0"/>
        <v>17035.431794321346</v>
      </c>
      <c r="I5" s="219">
        <f ca="1">(((H5*E5)/30)*30)</f>
        <v>34070.863588642693</v>
      </c>
      <c r="J5" s="314"/>
    </row>
    <row r="6" spans="1:10" s="215" customFormat="1" ht="15.75" customHeight="1" x14ac:dyDescent="0.2">
      <c r="A6" s="383" t="s">
        <v>259</v>
      </c>
      <c r="B6" s="384"/>
      <c r="C6" s="384"/>
      <c r="D6" s="384"/>
      <c r="E6" s="221">
        <f>SUM(E4:E5)</f>
        <v>4</v>
      </c>
      <c r="F6" s="222">
        <f>SUM(F4:F5)</f>
        <v>8</v>
      </c>
      <c r="G6" s="223"/>
      <c r="H6" s="224"/>
      <c r="I6" s="331">
        <f ca="1">SUM(I4:I5)-0.01</f>
        <v>64133.437578778168</v>
      </c>
    </row>
    <row r="7" spans="1:10" ht="15.75" x14ac:dyDescent="0.2">
      <c r="A7" s="209"/>
      <c r="B7" s="209"/>
      <c r="C7" s="209"/>
      <c r="D7" s="209"/>
      <c r="E7" s="209"/>
      <c r="F7" s="209"/>
      <c r="G7" s="209"/>
      <c r="H7" s="209"/>
      <c r="I7" s="209"/>
    </row>
  </sheetData>
  <mergeCells count="4">
    <mergeCell ref="A4:A5"/>
    <mergeCell ref="A6:D6"/>
    <mergeCell ref="A1:I1"/>
    <mergeCell ref="A2:I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T59"/>
  <sheetViews>
    <sheetView showGridLines="0" view="pageBreakPreview" topLeftCell="A21" zoomScale="112" zoomScaleNormal="100" zoomScaleSheetLayoutView="112" workbookViewId="0">
      <selection activeCell="A24" sqref="A24:I30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1.85546875" style="22" customWidth="1"/>
    <col min="4" max="4" width="15.85546875" style="22" customWidth="1"/>
    <col min="5" max="5" width="12.42578125" style="22" customWidth="1"/>
    <col min="6" max="6" width="10.7109375" style="22" customWidth="1"/>
    <col min="7" max="7" width="13.85546875" style="22" customWidth="1"/>
    <col min="8" max="8" width="15.28515625" style="22" customWidth="1"/>
    <col min="9" max="11" width="16.42578125" style="22" customWidth="1"/>
    <col min="12" max="12" width="11" style="22" bestFit="1" customWidth="1"/>
    <col min="13" max="245" width="9.140625" style="22"/>
    <col min="246" max="246" width="3.28515625" style="22" customWidth="1"/>
    <col min="247" max="247" width="29" style="22" customWidth="1"/>
    <col min="248" max="248" width="14" style="22" customWidth="1"/>
    <col min="249" max="249" width="11.28515625" style="22" customWidth="1"/>
    <col min="250" max="250" width="16.7109375" style="22" customWidth="1"/>
    <col min="251" max="251" width="8.85546875" style="22" customWidth="1"/>
    <col min="252" max="252" width="29" style="22" customWidth="1"/>
    <col min="253" max="501" width="9.140625" style="22"/>
    <col min="502" max="502" width="3.28515625" style="22" customWidth="1"/>
    <col min="503" max="503" width="29" style="22" customWidth="1"/>
    <col min="504" max="504" width="14" style="22" customWidth="1"/>
    <col min="505" max="505" width="11.28515625" style="22" customWidth="1"/>
    <col min="506" max="506" width="16.7109375" style="22" customWidth="1"/>
    <col min="507" max="507" width="8.85546875" style="22" customWidth="1"/>
    <col min="508" max="508" width="29" style="22" customWidth="1"/>
    <col min="509" max="757" width="9.140625" style="22"/>
    <col min="758" max="758" width="3.28515625" style="22" customWidth="1"/>
    <col min="759" max="759" width="29" style="22" customWidth="1"/>
    <col min="760" max="760" width="14" style="22" customWidth="1"/>
    <col min="761" max="761" width="11.28515625" style="22" customWidth="1"/>
    <col min="762" max="762" width="16.7109375" style="22" customWidth="1"/>
    <col min="763" max="763" width="8.85546875" style="22" customWidth="1"/>
    <col min="764" max="764" width="29" style="22" customWidth="1"/>
    <col min="765" max="1013" width="9.140625" style="22"/>
    <col min="1014" max="1014" width="3.28515625" style="22" customWidth="1"/>
    <col min="1015" max="1015" width="29" style="22" customWidth="1"/>
    <col min="1016" max="1016" width="14" style="22" customWidth="1"/>
    <col min="1017" max="1017" width="11.28515625" style="22" customWidth="1"/>
    <col min="1018" max="1018" width="16.7109375" style="22" customWidth="1"/>
    <col min="1019" max="1019" width="8.85546875" style="22" customWidth="1"/>
    <col min="1020" max="1020" width="29" style="22" customWidth="1"/>
    <col min="1021" max="1269" width="9.140625" style="22"/>
    <col min="1270" max="1270" width="3.28515625" style="22" customWidth="1"/>
    <col min="1271" max="1271" width="29" style="22" customWidth="1"/>
    <col min="1272" max="1272" width="14" style="22" customWidth="1"/>
    <col min="1273" max="1273" width="11.28515625" style="22" customWidth="1"/>
    <col min="1274" max="1274" width="16.7109375" style="22" customWidth="1"/>
    <col min="1275" max="1275" width="8.85546875" style="22" customWidth="1"/>
    <col min="1276" max="1276" width="29" style="22" customWidth="1"/>
    <col min="1277" max="1525" width="9.140625" style="22"/>
    <col min="1526" max="1526" width="3.28515625" style="22" customWidth="1"/>
    <col min="1527" max="1527" width="29" style="22" customWidth="1"/>
    <col min="1528" max="1528" width="14" style="22" customWidth="1"/>
    <col min="1529" max="1529" width="11.28515625" style="22" customWidth="1"/>
    <col min="1530" max="1530" width="16.7109375" style="22" customWidth="1"/>
    <col min="1531" max="1531" width="8.85546875" style="22" customWidth="1"/>
    <col min="1532" max="1532" width="29" style="22" customWidth="1"/>
    <col min="1533" max="1781" width="9.140625" style="22"/>
    <col min="1782" max="1782" width="3.28515625" style="22" customWidth="1"/>
    <col min="1783" max="1783" width="29" style="22" customWidth="1"/>
    <col min="1784" max="1784" width="14" style="22" customWidth="1"/>
    <col min="1785" max="1785" width="11.28515625" style="22" customWidth="1"/>
    <col min="1786" max="1786" width="16.7109375" style="22" customWidth="1"/>
    <col min="1787" max="1787" width="8.85546875" style="22" customWidth="1"/>
    <col min="1788" max="1788" width="29" style="22" customWidth="1"/>
    <col min="1789" max="2037" width="9.140625" style="22"/>
    <col min="2038" max="2038" width="3.28515625" style="22" customWidth="1"/>
    <col min="2039" max="2039" width="29" style="22" customWidth="1"/>
    <col min="2040" max="2040" width="14" style="22" customWidth="1"/>
    <col min="2041" max="2041" width="11.28515625" style="22" customWidth="1"/>
    <col min="2042" max="2042" width="16.7109375" style="22" customWidth="1"/>
    <col min="2043" max="2043" width="8.85546875" style="22" customWidth="1"/>
    <col min="2044" max="2044" width="29" style="22" customWidth="1"/>
    <col min="2045" max="2293" width="9.140625" style="22"/>
    <col min="2294" max="2294" width="3.28515625" style="22" customWidth="1"/>
    <col min="2295" max="2295" width="29" style="22" customWidth="1"/>
    <col min="2296" max="2296" width="14" style="22" customWidth="1"/>
    <col min="2297" max="2297" width="11.28515625" style="22" customWidth="1"/>
    <col min="2298" max="2298" width="16.7109375" style="22" customWidth="1"/>
    <col min="2299" max="2299" width="8.85546875" style="22" customWidth="1"/>
    <col min="2300" max="2300" width="29" style="22" customWidth="1"/>
    <col min="2301" max="2549" width="9.140625" style="22"/>
    <col min="2550" max="2550" width="3.28515625" style="22" customWidth="1"/>
    <col min="2551" max="2551" width="29" style="22" customWidth="1"/>
    <col min="2552" max="2552" width="14" style="22" customWidth="1"/>
    <col min="2553" max="2553" width="11.28515625" style="22" customWidth="1"/>
    <col min="2554" max="2554" width="16.7109375" style="22" customWidth="1"/>
    <col min="2555" max="2555" width="8.85546875" style="22" customWidth="1"/>
    <col min="2556" max="2556" width="29" style="22" customWidth="1"/>
    <col min="2557" max="2805" width="9.140625" style="22"/>
    <col min="2806" max="2806" width="3.28515625" style="22" customWidth="1"/>
    <col min="2807" max="2807" width="29" style="22" customWidth="1"/>
    <col min="2808" max="2808" width="14" style="22" customWidth="1"/>
    <col min="2809" max="2809" width="11.28515625" style="22" customWidth="1"/>
    <col min="2810" max="2810" width="16.7109375" style="22" customWidth="1"/>
    <col min="2811" max="2811" width="8.85546875" style="22" customWidth="1"/>
    <col min="2812" max="2812" width="29" style="22" customWidth="1"/>
    <col min="2813" max="3061" width="9.140625" style="22"/>
    <col min="3062" max="3062" width="3.28515625" style="22" customWidth="1"/>
    <col min="3063" max="3063" width="29" style="22" customWidth="1"/>
    <col min="3064" max="3064" width="14" style="22" customWidth="1"/>
    <col min="3065" max="3065" width="11.28515625" style="22" customWidth="1"/>
    <col min="3066" max="3066" width="16.7109375" style="22" customWidth="1"/>
    <col min="3067" max="3067" width="8.85546875" style="22" customWidth="1"/>
    <col min="3068" max="3068" width="29" style="22" customWidth="1"/>
    <col min="3069" max="3317" width="9.140625" style="22"/>
    <col min="3318" max="3318" width="3.28515625" style="22" customWidth="1"/>
    <col min="3319" max="3319" width="29" style="22" customWidth="1"/>
    <col min="3320" max="3320" width="14" style="22" customWidth="1"/>
    <col min="3321" max="3321" width="11.28515625" style="22" customWidth="1"/>
    <col min="3322" max="3322" width="16.7109375" style="22" customWidth="1"/>
    <col min="3323" max="3323" width="8.85546875" style="22" customWidth="1"/>
    <col min="3324" max="3324" width="29" style="22" customWidth="1"/>
    <col min="3325" max="3573" width="9.140625" style="22"/>
    <col min="3574" max="3574" width="3.28515625" style="22" customWidth="1"/>
    <col min="3575" max="3575" width="29" style="22" customWidth="1"/>
    <col min="3576" max="3576" width="14" style="22" customWidth="1"/>
    <col min="3577" max="3577" width="11.28515625" style="22" customWidth="1"/>
    <col min="3578" max="3578" width="16.7109375" style="22" customWidth="1"/>
    <col min="3579" max="3579" width="8.85546875" style="22" customWidth="1"/>
    <col min="3580" max="3580" width="29" style="22" customWidth="1"/>
    <col min="3581" max="3829" width="9.140625" style="22"/>
    <col min="3830" max="3830" width="3.28515625" style="22" customWidth="1"/>
    <col min="3831" max="3831" width="29" style="22" customWidth="1"/>
    <col min="3832" max="3832" width="14" style="22" customWidth="1"/>
    <col min="3833" max="3833" width="11.28515625" style="22" customWidth="1"/>
    <col min="3834" max="3834" width="16.7109375" style="22" customWidth="1"/>
    <col min="3835" max="3835" width="8.85546875" style="22" customWidth="1"/>
    <col min="3836" max="3836" width="29" style="22" customWidth="1"/>
    <col min="3837" max="4085" width="9.140625" style="22"/>
    <col min="4086" max="4086" width="3.28515625" style="22" customWidth="1"/>
    <col min="4087" max="4087" width="29" style="22" customWidth="1"/>
    <col min="4088" max="4088" width="14" style="22" customWidth="1"/>
    <col min="4089" max="4089" width="11.28515625" style="22" customWidth="1"/>
    <col min="4090" max="4090" width="16.7109375" style="22" customWidth="1"/>
    <col min="4091" max="4091" width="8.85546875" style="22" customWidth="1"/>
    <col min="4092" max="4092" width="29" style="22" customWidth="1"/>
    <col min="4093" max="4341" width="9.140625" style="22"/>
    <col min="4342" max="4342" width="3.28515625" style="22" customWidth="1"/>
    <col min="4343" max="4343" width="29" style="22" customWidth="1"/>
    <col min="4344" max="4344" width="14" style="22" customWidth="1"/>
    <col min="4345" max="4345" width="11.28515625" style="22" customWidth="1"/>
    <col min="4346" max="4346" width="16.7109375" style="22" customWidth="1"/>
    <col min="4347" max="4347" width="8.85546875" style="22" customWidth="1"/>
    <col min="4348" max="4348" width="29" style="22" customWidth="1"/>
    <col min="4349" max="4597" width="9.140625" style="22"/>
    <col min="4598" max="4598" width="3.28515625" style="22" customWidth="1"/>
    <col min="4599" max="4599" width="29" style="22" customWidth="1"/>
    <col min="4600" max="4600" width="14" style="22" customWidth="1"/>
    <col min="4601" max="4601" width="11.28515625" style="22" customWidth="1"/>
    <col min="4602" max="4602" width="16.7109375" style="22" customWidth="1"/>
    <col min="4603" max="4603" width="8.85546875" style="22" customWidth="1"/>
    <col min="4604" max="4604" width="29" style="22" customWidth="1"/>
    <col min="4605" max="4853" width="9.140625" style="22"/>
    <col min="4854" max="4854" width="3.28515625" style="22" customWidth="1"/>
    <col min="4855" max="4855" width="29" style="22" customWidth="1"/>
    <col min="4856" max="4856" width="14" style="22" customWidth="1"/>
    <col min="4857" max="4857" width="11.28515625" style="22" customWidth="1"/>
    <col min="4858" max="4858" width="16.7109375" style="22" customWidth="1"/>
    <col min="4859" max="4859" width="8.85546875" style="22" customWidth="1"/>
    <col min="4860" max="4860" width="29" style="22" customWidth="1"/>
    <col min="4861" max="5109" width="9.140625" style="22"/>
    <col min="5110" max="5110" width="3.28515625" style="22" customWidth="1"/>
    <col min="5111" max="5111" width="29" style="22" customWidth="1"/>
    <col min="5112" max="5112" width="14" style="22" customWidth="1"/>
    <col min="5113" max="5113" width="11.28515625" style="22" customWidth="1"/>
    <col min="5114" max="5114" width="16.7109375" style="22" customWidth="1"/>
    <col min="5115" max="5115" width="8.85546875" style="22" customWidth="1"/>
    <col min="5116" max="5116" width="29" style="22" customWidth="1"/>
    <col min="5117" max="5365" width="9.140625" style="22"/>
    <col min="5366" max="5366" width="3.28515625" style="22" customWidth="1"/>
    <col min="5367" max="5367" width="29" style="22" customWidth="1"/>
    <col min="5368" max="5368" width="14" style="22" customWidth="1"/>
    <col min="5369" max="5369" width="11.28515625" style="22" customWidth="1"/>
    <col min="5370" max="5370" width="16.7109375" style="22" customWidth="1"/>
    <col min="5371" max="5371" width="8.85546875" style="22" customWidth="1"/>
    <col min="5372" max="5372" width="29" style="22" customWidth="1"/>
    <col min="5373" max="5621" width="9.140625" style="22"/>
    <col min="5622" max="5622" width="3.28515625" style="22" customWidth="1"/>
    <col min="5623" max="5623" width="29" style="22" customWidth="1"/>
    <col min="5624" max="5624" width="14" style="22" customWidth="1"/>
    <col min="5625" max="5625" width="11.28515625" style="22" customWidth="1"/>
    <col min="5626" max="5626" width="16.7109375" style="22" customWidth="1"/>
    <col min="5627" max="5627" width="8.85546875" style="22" customWidth="1"/>
    <col min="5628" max="5628" width="29" style="22" customWidth="1"/>
    <col min="5629" max="5877" width="9.140625" style="22"/>
    <col min="5878" max="5878" width="3.28515625" style="22" customWidth="1"/>
    <col min="5879" max="5879" width="29" style="22" customWidth="1"/>
    <col min="5880" max="5880" width="14" style="22" customWidth="1"/>
    <col min="5881" max="5881" width="11.28515625" style="22" customWidth="1"/>
    <col min="5882" max="5882" width="16.7109375" style="22" customWidth="1"/>
    <col min="5883" max="5883" width="8.85546875" style="22" customWidth="1"/>
    <col min="5884" max="5884" width="29" style="22" customWidth="1"/>
    <col min="5885" max="6133" width="9.140625" style="22"/>
    <col min="6134" max="6134" width="3.28515625" style="22" customWidth="1"/>
    <col min="6135" max="6135" width="29" style="22" customWidth="1"/>
    <col min="6136" max="6136" width="14" style="22" customWidth="1"/>
    <col min="6137" max="6137" width="11.28515625" style="22" customWidth="1"/>
    <col min="6138" max="6138" width="16.7109375" style="22" customWidth="1"/>
    <col min="6139" max="6139" width="8.85546875" style="22" customWidth="1"/>
    <col min="6140" max="6140" width="29" style="22" customWidth="1"/>
    <col min="6141" max="6389" width="9.140625" style="22"/>
    <col min="6390" max="6390" width="3.28515625" style="22" customWidth="1"/>
    <col min="6391" max="6391" width="29" style="22" customWidth="1"/>
    <col min="6392" max="6392" width="14" style="22" customWidth="1"/>
    <col min="6393" max="6393" width="11.28515625" style="22" customWidth="1"/>
    <col min="6394" max="6394" width="16.7109375" style="22" customWidth="1"/>
    <col min="6395" max="6395" width="8.85546875" style="22" customWidth="1"/>
    <col min="6396" max="6396" width="29" style="22" customWidth="1"/>
    <col min="6397" max="6645" width="9.140625" style="22"/>
    <col min="6646" max="6646" width="3.28515625" style="22" customWidth="1"/>
    <col min="6647" max="6647" width="29" style="22" customWidth="1"/>
    <col min="6648" max="6648" width="14" style="22" customWidth="1"/>
    <col min="6649" max="6649" width="11.28515625" style="22" customWidth="1"/>
    <col min="6650" max="6650" width="16.7109375" style="22" customWidth="1"/>
    <col min="6651" max="6651" width="8.85546875" style="22" customWidth="1"/>
    <col min="6652" max="6652" width="29" style="22" customWidth="1"/>
    <col min="6653" max="6901" width="9.140625" style="22"/>
    <col min="6902" max="6902" width="3.28515625" style="22" customWidth="1"/>
    <col min="6903" max="6903" width="29" style="22" customWidth="1"/>
    <col min="6904" max="6904" width="14" style="22" customWidth="1"/>
    <col min="6905" max="6905" width="11.28515625" style="22" customWidth="1"/>
    <col min="6906" max="6906" width="16.7109375" style="22" customWidth="1"/>
    <col min="6907" max="6907" width="8.85546875" style="22" customWidth="1"/>
    <col min="6908" max="6908" width="29" style="22" customWidth="1"/>
    <col min="6909" max="7157" width="9.140625" style="22"/>
    <col min="7158" max="7158" width="3.28515625" style="22" customWidth="1"/>
    <col min="7159" max="7159" width="29" style="22" customWidth="1"/>
    <col min="7160" max="7160" width="14" style="22" customWidth="1"/>
    <col min="7161" max="7161" width="11.28515625" style="22" customWidth="1"/>
    <col min="7162" max="7162" width="16.7109375" style="22" customWidth="1"/>
    <col min="7163" max="7163" width="8.85546875" style="22" customWidth="1"/>
    <col min="7164" max="7164" width="29" style="22" customWidth="1"/>
    <col min="7165" max="7413" width="9.140625" style="22"/>
    <col min="7414" max="7414" width="3.28515625" style="22" customWidth="1"/>
    <col min="7415" max="7415" width="29" style="22" customWidth="1"/>
    <col min="7416" max="7416" width="14" style="22" customWidth="1"/>
    <col min="7417" max="7417" width="11.28515625" style="22" customWidth="1"/>
    <col min="7418" max="7418" width="16.7109375" style="22" customWidth="1"/>
    <col min="7419" max="7419" width="8.85546875" style="22" customWidth="1"/>
    <col min="7420" max="7420" width="29" style="22" customWidth="1"/>
    <col min="7421" max="7669" width="9.140625" style="22"/>
    <col min="7670" max="7670" width="3.28515625" style="22" customWidth="1"/>
    <col min="7671" max="7671" width="29" style="22" customWidth="1"/>
    <col min="7672" max="7672" width="14" style="22" customWidth="1"/>
    <col min="7673" max="7673" width="11.28515625" style="22" customWidth="1"/>
    <col min="7674" max="7674" width="16.7109375" style="22" customWidth="1"/>
    <col min="7675" max="7675" width="8.85546875" style="22" customWidth="1"/>
    <col min="7676" max="7676" width="29" style="22" customWidth="1"/>
    <col min="7677" max="7925" width="9.140625" style="22"/>
    <col min="7926" max="7926" width="3.28515625" style="22" customWidth="1"/>
    <col min="7927" max="7927" width="29" style="22" customWidth="1"/>
    <col min="7928" max="7928" width="14" style="22" customWidth="1"/>
    <col min="7929" max="7929" width="11.28515625" style="22" customWidth="1"/>
    <col min="7930" max="7930" width="16.7109375" style="22" customWidth="1"/>
    <col min="7931" max="7931" width="8.85546875" style="22" customWidth="1"/>
    <col min="7932" max="7932" width="29" style="22" customWidth="1"/>
    <col min="7933" max="8181" width="9.140625" style="22"/>
    <col min="8182" max="8182" width="3.28515625" style="22" customWidth="1"/>
    <col min="8183" max="8183" width="29" style="22" customWidth="1"/>
    <col min="8184" max="8184" width="14" style="22" customWidth="1"/>
    <col min="8185" max="8185" width="11.28515625" style="22" customWidth="1"/>
    <col min="8186" max="8186" width="16.7109375" style="22" customWidth="1"/>
    <col min="8187" max="8187" width="8.85546875" style="22" customWidth="1"/>
    <col min="8188" max="8188" width="29" style="22" customWidth="1"/>
    <col min="8189" max="8437" width="9.140625" style="22"/>
    <col min="8438" max="8438" width="3.28515625" style="22" customWidth="1"/>
    <col min="8439" max="8439" width="29" style="22" customWidth="1"/>
    <col min="8440" max="8440" width="14" style="22" customWidth="1"/>
    <col min="8441" max="8441" width="11.28515625" style="22" customWidth="1"/>
    <col min="8442" max="8442" width="16.7109375" style="22" customWidth="1"/>
    <col min="8443" max="8443" width="8.85546875" style="22" customWidth="1"/>
    <col min="8444" max="8444" width="29" style="22" customWidth="1"/>
    <col min="8445" max="8693" width="9.140625" style="22"/>
    <col min="8694" max="8694" width="3.28515625" style="22" customWidth="1"/>
    <col min="8695" max="8695" width="29" style="22" customWidth="1"/>
    <col min="8696" max="8696" width="14" style="22" customWidth="1"/>
    <col min="8697" max="8697" width="11.28515625" style="22" customWidth="1"/>
    <col min="8698" max="8698" width="16.7109375" style="22" customWidth="1"/>
    <col min="8699" max="8699" width="8.85546875" style="22" customWidth="1"/>
    <col min="8700" max="8700" width="29" style="22" customWidth="1"/>
    <col min="8701" max="8949" width="9.140625" style="22"/>
    <col min="8950" max="8950" width="3.28515625" style="22" customWidth="1"/>
    <col min="8951" max="8951" width="29" style="22" customWidth="1"/>
    <col min="8952" max="8952" width="14" style="22" customWidth="1"/>
    <col min="8953" max="8953" width="11.28515625" style="22" customWidth="1"/>
    <col min="8954" max="8954" width="16.7109375" style="22" customWidth="1"/>
    <col min="8955" max="8955" width="8.85546875" style="22" customWidth="1"/>
    <col min="8956" max="8956" width="29" style="22" customWidth="1"/>
    <col min="8957" max="9205" width="9.140625" style="22"/>
    <col min="9206" max="9206" width="3.28515625" style="22" customWidth="1"/>
    <col min="9207" max="9207" width="29" style="22" customWidth="1"/>
    <col min="9208" max="9208" width="14" style="22" customWidth="1"/>
    <col min="9209" max="9209" width="11.28515625" style="22" customWidth="1"/>
    <col min="9210" max="9210" width="16.7109375" style="22" customWidth="1"/>
    <col min="9211" max="9211" width="8.85546875" style="22" customWidth="1"/>
    <col min="9212" max="9212" width="29" style="22" customWidth="1"/>
    <col min="9213" max="9461" width="9.140625" style="22"/>
    <col min="9462" max="9462" width="3.28515625" style="22" customWidth="1"/>
    <col min="9463" max="9463" width="29" style="22" customWidth="1"/>
    <col min="9464" max="9464" width="14" style="22" customWidth="1"/>
    <col min="9465" max="9465" width="11.28515625" style="22" customWidth="1"/>
    <col min="9466" max="9466" width="16.7109375" style="22" customWidth="1"/>
    <col min="9467" max="9467" width="8.85546875" style="22" customWidth="1"/>
    <col min="9468" max="9468" width="29" style="22" customWidth="1"/>
    <col min="9469" max="9717" width="9.140625" style="22"/>
    <col min="9718" max="9718" width="3.28515625" style="22" customWidth="1"/>
    <col min="9719" max="9719" width="29" style="22" customWidth="1"/>
    <col min="9720" max="9720" width="14" style="22" customWidth="1"/>
    <col min="9721" max="9721" width="11.28515625" style="22" customWidth="1"/>
    <col min="9722" max="9722" width="16.7109375" style="22" customWidth="1"/>
    <col min="9723" max="9723" width="8.85546875" style="22" customWidth="1"/>
    <col min="9724" max="9724" width="29" style="22" customWidth="1"/>
    <col min="9725" max="9973" width="9.140625" style="22"/>
    <col min="9974" max="9974" width="3.28515625" style="22" customWidth="1"/>
    <col min="9975" max="9975" width="29" style="22" customWidth="1"/>
    <col min="9976" max="9976" width="14" style="22" customWidth="1"/>
    <col min="9977" max="9977" width="11.28515625" style="22" customWidth="1"/>
    <col min="9978" max="9978" width="16.7109375" style="22" customWidth="1"/>
    <col min="9979" max="9979" width="8.85546875" style="22" customWidth="1"/>
    <col min="9980" max="9980" width="29" style="22" customWidth="1"/>
    <col min="9981" max="10229" width="9.140625" style="22"/>
    <col min="10230" max="10230" width="3.28515625" style="22" customWidth="1"/>
    <col min="10231" max="10231" width="29" style="22" customWidth="1"/>
    <col min="10232" max="10232" width="14" style="22" customWidth="1"/>
    <col min="10233" max="10233" width="11.28515625" style="22" customWidth="1"/>
    <col min="10234" max="10234" width="16.7109375" style="22" customWidth="1"/>
    <col min="10235" max="10235" width="8.85546875" style="22" customWidth="1"/>
    <col min="10236" max="10236" width="29" style="22" customWidth="1"/>
    <col min="10237" max="10485" width="9.140625" style="22"/>
    <col min="10486" max="10486" width="3.28515625" style="22" customWidth="1"/>
    <col min="10487" max="10487" width="29" style="22" customWidth="1"/>
    <col min="10488" max="10488" width="14" style="22" customWidth="1"/>
    <col min="10489" max="10489" width="11.28515625" style="22" customWidth="1"/>
    <col min="10490" max="10490" width="16.7109375" style="22" customWidth="1"/>
    <col min="10491" max="10491" width="8.85546875" style="22" customWidth="1"/>
    <col min="10492" max="10492" width="29" style="22" customWidth="1"/>
    <col min="10493" max="10741" width="9.140625" style="22"/>
    <col min="10742" max="10742" width="3.28515625" style="22" customWidth="1"/>
    <col min="10743" max="10743" width="29" style="22" customWidth="1"/>
    <col min="10744" max="10744" width="14" style="22" customWidth="1"/>
    <col min="10745" max="10745" width="11.28515625" style="22" customWidth="1"/>
    <col min="10746" max="10746" width="16.7109375" style="22" customWidth="1"/>
    <col min="10747" max="10747" width="8.85546875" style="22" customWidth="1"/>
    <col min="10748" max="10748" width="29" style="22" customWidth="1"/>
    <col min="10749" max="10997" width="9.140625" style="22"/>
    <col min="10998" max="10998" width="3.28515625" style="22" customWidth="1"/>
    <col min="10999" max="10999" width="29" style="22" customWidth="1"/>
    <col min="11000" max="11000" width="14" style="22" customWidth="1"/>
    <col min="11001" max="11001" width="11.28515625" style="22" customWidth="1"/>
    <col min="11002" max="11002" width="16.7109375" style="22" customWidth="1"/>
    <col min="11003" max="11003" width="8.85546875" style="22" customWidth="1"/>
    <col min="11004" max="11004" width="29" style="22" customWidth="1"/>
    <col min="11005" max="11253" width="9.140625" style="22"/>
    <col min="11254" max="11254" width="3.28515625" style="22" customWidth="1"/>
    <col min="11255" max="11255" width="29" style="22" customWidth="1"/>
    <col min="11256" max="11256" width="14" style="22" customWidth="1"/>
    <col min="11257" max="11257" width="11.28515625" style="22" customWidth="1"/>
    <col min="11258" max="11258" width="16.7109375" style="22" customWidth="1"/>
    <col min="11259" max="11259" width="8.85546875" style="22" customWidth="1"/>
    <col min="11260" max="11260" width="29" style="22" customWidth="1"/>
    <col min="11261" max="11509" width="9.140625" style="22"/>
    <col min="11510" max="11510" width="3.28515625" style="22" customWidth="1"/>
    <col min="11511" max="11511" width="29" style="22" customWidth="1"/>
    <col min="11512" max="11512" width="14" style="22" customWidth="1"/>
    <col min="11513" max="11513" width="11.28515625" style="22" customWidth="1"/>
    <col min="11514" max="11514" width="16.7109375" style="22" customWidth="1"/>
    <col min="11515" max="11515" width="8.85546875" style="22" customWidth="1"/>
    <col min="11516" max="11516" width="29" style="22" customWidth="1"/>
    <col min="11517" max="11765" width="9.140625" style="22"/>
    <col min="11766" max="11766" width="3.28515625" style="22" customWidth="1"/>
    <col min="11767" max="11767" width="29" style="22" customWidth="1"/>
    <col min="11768" max="11768" width="14" style="22" customWidth="1"/>
    <col min="11769" max="11769" width="11.28515625" style="22" customWidth="1"/>
    <col min="11770" max="11770" width="16.7109375" style="22" customWidth="1"/>
    <col min="11771" max="11771" width="8.85546875" style="22" customWidth="1"/>
    <col min="11772" max="11772" width="29" style="22" customWidth="1"/>
    <col min="11773" max="12021" width="9.140625" style="22"/>
    <col min="12022" max="12022" width="3.28515625" style="22" customWidth="1"/>
    <col min="12023" max="12023" width="29" style="22" customWidth="1"/>
    <col min="12024" max="12024" width="14" style="22" customWidth="1"/>
    <col min="12025" max="12025" width="11.28515625" style="22" customWidth="1"/>
    <col min="12026" max="12026" width="16.7109375" style="22" customWidth="1"/>
    <col min="12027" max="12027" width="8.85546875" style="22" customWidth="1"/>
    <col min="12028" max="12028" width="29" style="22" customWidth="1"/>
    <col min="12029" max="12277" width="9.140625" style="22"/>
    <col min="12278" max="12278" width="3.28515625" style="22" customWidth="1"/>
    <col min="12279" max="12279" width="29" style="22" customWidth="1"/>
    <col min="12280" max="12280" width="14" style="22" customWidth="1"/>
    <col min="12281" max="12281" width="11.28515625" style="22" customWidth="1"/>
    <col min="12282" max="12282" width="16.7109375" style="22" customWidth="1"/>
    <col min="12283" max="12283" width="8.85546875" style="22" customWidth="1"/>
    <col min="12284" max="12284" width="29" style="22" customWidth="1"/>
    <col min="12285" max="12533" width="9.140625" style="22"/>
    <col min="12534" max="12534" width="3.28515625" style="22" customWidth="1"/>
    <col min="12535" max="12535" width="29" style="22" customWidth="1"/>
    <col min="12536" max="12536" width="14" style="22" customWidth="1"/>
    <col min="12537" max="12537" width="11.28515625" style="22" customWidth="1"/>
    <col min="12538" max="12538" width="16.7109375" style="22" customWidth="1"/>
    <col min="12539" max="12539" width="8.85546875" style="22" customWidth="1"/>
    <col min="12540" max="12540" width="29" style="22" customWidth="1"/>
    <col min="12541" max="12789" width="9.140625" style="22"/>
    <col min="12790" max="12790" width="3.28515625" style="22" customWidth="1"/>
    <col min="12791" max="12791" width="29" style="22" customWidth="1"/>
    <col min="12792" max="12792" width="14" style="22" customWidth="1"/>
    <col min="12793" max="12793" width="11.28515625" style="22" customWidth="1"/>
    <col min="12794" max="12794" width="16.7109375" style="22" customWidth="1"/>
    <col min="12795" max="12795" width="8.85546875" style="22" customWidth="1"/>
    <col min="12796" max="12796" width="29" style="22" customWidth="1"/>
    <col min="12797" max="13045" width="9.140625" style="22"/>
    <col min="13046" max="13046" width="3.28515625" style="22" customWidth="1"/>
    <col min="13047" max="13047" width="29" style="22" customWidth="1"/>
    <col min="13048" max="13048" width="14" style="22" customWidth="1"/>
    <col min="13049" max="13049" width="11.28515625" style="22" customWidth="1"/>
    <col min="13050" max="13050" width="16.7109375" style="22" customWidth="1"/>
    <col min="13051" max="13051" width="8.85546875" style="22" customWidth="1"/>
    <col min="13052" max="13052" width="29" style="22" customWidth="1"/>
    <col min="13053" max="13301" width="9.140625" style="22"/>
    <col min="13302" max="13302" width="3.28515625" style="22" customWidth="1"/>
    <col min="13303" max="13303" width="29" style="22" customWidth="1"/>
    <col min="13304" max="13304" width="14" style="22" customWidth="1"/>
    <col min="13305" max="13305" width="11.28515625" style="22" customWidth="1"/>
    <col min="13306" max="13306" width="16.7109375" style="22" customWidth="1"/>
    <col min="13307" max="13307" width="8.85546875" style="22" customWidth="1"/>
    <col min="13308" max="13308" width="29" style="22" customWidth="1"/>
    <col min="13309" max="13557" width="9.140625" style="22"/>
    <col min="13558" max="13558" width="3.28515625" style="22" customWidth="1"/>
    <col min="13559" max="13559" width="29" style="22" customWidth="1"/>
    <col min="13560" max="13560" width="14" style="22" customWidth="1"/>
    <col min="13561" max="13561" width="11.28515625" style="22" customWidth="1"/>
    <col min="13562" max="13562" width="16.7109375" style="22" customWidth="1"/>
    <col min="13563" max="13563" width="8.85546875" style="22" customWidth="1"/>
    <col min="13564" max="13564" width="29" style="22" customWidth="1"/>
    <col min="13565" max="13813" width="9.140625" style="22"/>
    <col min="13814" max="13814" width="3.28515625" style="22" customWidth="1"/>
    <col min="13815" max="13815" width="29" style="22" customWidth="1"/>
    <col min="13816" max="13816" width="14" style="22" customWidth="1"/>
    <col min="13817" max="13817" width="11.28515625" style="22" customWidth="1"/>
    <col min="13818" max="13818" width="16.7109375" style="22" customWidth="1"/>
    <col min="13819" max="13819" width="8.85546875" style="22" customWidth="1"/>
    <col min="13820" max="13820" width="29" style="22" customWidth="1"/>
    <col min="13821" max="14069" width="9.140625" style="22"/>
    <col min="14070" max="14070" width="3.28515625" style="22" customWidth="1"/>
    <col min="14071" max="14071" width="29" style="22" customWidth="1"/>
    <col min="14072" max="14072" width="14" style="22" customWidth="1"/>
    <col min="14073" max="14073" width="11.28515625" style="22" customWidth="1"/>
    <col min="14074" max="14074" width="16.7109375" style="22" customWidth="1"/>
    <col min="14075" max="14075" width="8.85546875" style="22" customWidth="1"/>
    <col min="14076" max="14076" width="29" style="22" customWidth="1"/>
    <col min="14077" max="14325" width="9.140625" style="22"/>
    <col min="14326" max="14326" width="3.28515625" style="22" customWidth="1"/>
    <col min="14327" max="14327" width="29" style="22" customWidth="1"/>
    <col min="14328" max="14328" width="14" style="22" customWidth="1"/>
    <col min="14329" max="14329" width="11.28515625" style="22" customWidth="1"/>
    <col min="14330" max="14330" width="16.7109375" style="22" customWidth="1"/>
    <col min="14331" max="14331" width="8.85546875" style="22" customWidth="1"/>
    <col min="14332" max="14332" width="29" style="22" customWidth="1"/>
    <col min="14333" max="14581" width="9.140625" style="22"/>
    <col min="14582" max="14582" width="3.28515625" style="22" customWidth="1"/>
    <col min="14583" max="14583" width="29" style="22" customWidth="1"/>
    <col min="14584" max="14584" width="14" style="22" customWidth="1"/>
    <col min="14585" max="14585" width="11.28515625" style="22" customWidth="1"/>
    <col min="14586" max="14586" width="16.7109375" style="22" customWidth="1"/>
    <col min="14587" max="14587" width="8.85546875" style="22" customWidth="1"/>
    <col min="14588" max="14588" width="29" style="22" customWidth="1"/>
    <col min="14589" max="14837" width="9.140625" style="22"/>
    <col min="14838" max="14838" width="3.28515625" style="22" customWidth="1"/>
    <col min="14839" max="14839" width="29" style="22" customWidth="1"/>
    <col min="14840" max="14840" width="14" style="22" customWidth="1"/>
    <col min="14841" max="14841" width="11.28515625" style="22" customWidth="1"/>
    <col min="14842" max="14842" width="16.7109375" style="22" customWidth="1"/>
    <col min="14843" max="14843" width="8.85546875" style="22" customWidth="1"/>
    <col min="14844" max="14844" width="29" style="22" customWidth="1"/>
    <col min="14845" max="15093" width="9.140625" style="22"/>
    <col min="15094" max="15094" width="3.28515625" style="22" customWidth="1"/>
    <col min="15095" max="15095" width="29" style="22" customWidth="1"/>
    <col min="15096" max="15096" width="14" style="22" customWidth="1"/>
    <col min="15097" max="15097" width="11.28515625" style="22" customWidth="1"/>
    <col min="15098" max="15098" width="16.7109375" style="22" customWidth="1"/>
    <col min="15099" max="15099" width="8.85546875" style="22" customWidth="1"/>
    <col min="15100" max="15100" width="29" style="22" customWidth="1"/>
    <col min="15101" max="15349" width="9.140625" style="22"/>
    <col min="15350" max="15350" width="3.28515625" style="22" customWidth="1"/>
    <col min="15351" max="15351" width="29" style="22" customWidth="1"/>
    <col min="15352" max="15352" width="14" style="22" customWidth="1"/>
    <col min="15353" max="15353" width="11.28515625" style="22" customWidth="1"/>
    <col min="15354" max="15354" width="16.7109375" style="22" customWidth="1"/>
    <col min="15355" max="15355" width="8.85546875" style="22" customWidth="1"/>
    <col min="15356" max="15356" width="29" style="22" customWidth="1"/>
    <col min="15357" max="15605" width="9.140625" style="22"/>
    <col min="15606" max="15606" width="3.28515625" style="22" customWidth="1"/>
    <col min="15607" max="15607" width="29" style="22" customWidth="1"/>
    <col min="15608" max="15608" width="14" style="22" customWidth="1"/>
    <col min="15609" max="15609" width="11.28515625" style="22" customWidth="1"/>
    <col min="15610" max="15610" width="16.7109375" style="22" customWidth="1"/>
    <col min="15611" max="15611" width="8.85546875" style="22" customWidth="1"/>
    <col min="15612" max="15612" width="29" style="22" customWidth="1"/>
    <col min="15613" max="15861" width="9.140625" style="22"/>
    <col min="15862" max="15862" width="3.28515625" style="22" customWidth="1"/>
    <col min="15863" max="15863" width="29" style="22" customWidth="1"/>
    <col min="15864" max="15864" width="14" style="22" customWidth="1"/>
    <col min="15865" max="15865" width="11.28515625" style="22" customWidth="1"/>
    <col min="15866" max="15866" width="16.7109375" style="22" customWidth="1"/>
    <col min="15867" max="15867" width="8.85546875" style="22" customWidth="1"/>
    <col min="15868" max="15868" width="29" style="22" customWidth="1"/>
    <col min="15869" max="16117" width="9.140625" style="22"/>
    <col min="16118" max="16118" width="3.28515625" style="22" customWidth="1"/>
    <col min="16119" max="16119" width="29" style="22" customWidth="1"/>
    <col min="16120" max="16120" width="14" style="22" customWidth="1"/>
    <col min="16121" max="16121" width="11.28515625" style="22" customWidth="1"/>
    <col min="16122" max="16122" width="16.7109375" style="22" customWidth="1"/>
    <col min="16123" max="16123" width="8.85546875" style="22" customWidth="1"/>
    <col min="16124" max="16124" width="29" style="22" customWidth="1"/>
    <col min="16125" max="16384" width="9.140625" style="22"/>
  </cols>
  <sheetData>
    <row r="1" spans="1:245" ht="15.75" x14ac:dyDescent="0.2">
      <c r="C1" s="209"/>
      <c r="D1" s="209"/>
      <c r="E1" s="209"/>
      <c r="F1" s="209"/>
      <c r="G1" s="209"/>
      <c r="H1" s="209"/>
      <c r="I1" s="209"/>
      <c r="J1" s="209"/>
      <c r="K1" s="209"/>
    </row>
    <row r="2" spans="1:245" ht="30.75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  <c r="J2" s="411"/>
      <c r="K2" s="296"/>
    </row>
    <row r="3" spans="1:245" ht="15.75" x14ac:dyDescent="0.2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09"/>
    </row>
    <row r="4" spans="1:245" ht="2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09"/>
    </row>
    <row r="5" spans="1:245" ht="15.75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09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</row>
    <row r="6" spans="1:245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09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</row>
    <row r="7" spans="1:245" ht="15.75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09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</row>
    <row r="8" spans="1:245" ht="15.75" x14ac:dyDescent="0.2">
      <c r="A8" s="209"/>
      <c r="B8" s="209"/>
      <c r="C8" s="209"/>
      <c r="D8" s="209"/>
      <c r="E8" s="209"/>
      <c r="F8" s="209"/>
      <c r="G8" s="209"/>
      <c r="I8" s="209"/>
      <c r="J8" s="209"/>
      <c r="K8" s="209"/>
    </row>
    <row r="9" spans="1:245" ht="15.75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66"/>
    </row>
    <row r="10" spans="1:245" ht="15.75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66"/>
    </row>
    <row r="11" spans="1:245" ht="15" customHeight="1" x14ac:dyDescent="0.2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09"/>
    </row>
    <row r="12" spans="1:245" ht="16.5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94"/>
    </row>
    <row r="13" spans="1:245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5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5" ht="44.25" customHeight="1" x14ac:dyDescent="0.2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09"/>
    </row>
    <row r="16" spans="1:245" ht="66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71"/>
    </row>
    <row r="17" spans="1:254" ht="16.5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  <c r="J17" s="395"/>
      <c r="K17" s="294"/>
    </row>
    <row r="18" spans="1:254" ht="87.75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  <c r="J18" s="399"/>
      <c r="K18" s="271"/>
    </row>
    <row r="19" spans="1:254" ht="16.5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  <c r="J19" s="395"/>
      <c r="K19" s="294"/>
    </row>
    <row r="20" spans="1:254" ht="60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  <c r="J20" s="399"/>
      <c r="K20" s="271"/>
    </row>
    <row r="21" spans="1:254" ht="16.5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  <c r="J21" s="395"/>
      <c r="K21" s="294"/>
    </row>
    <row r="22" spans="1:254" ht="66" customHeight="1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  <c r="J22" s="399"/>
      <c r="K22" s="271"/>
    </row>
    <row r="23" spans="1:254" ht="4.5" customHeight="1" x14ac:dyDescent="0.2">
      <c r="A23" s="372"/>
      <c r="B23" s="372"/>
      <c r="C23" s="372"/>
      <c r="D23" s="372"/>
      <c r="E23" s="372"/>
      <c r="F23" s="372"/>
      <c r="G23" s="210"/>
      <c r="H23" s="399"/>
      <c r="I23" s="399"/>
      <c r="J23" s="399"/>
      <c r="K23" s="399"/>
    </row>
    <row r="24" spans="1:254" s="215" customFormat="1" ht="45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109" t="s">
        <v>130</v>
      </c>
      <c r="J24" s="320" t="s">
        <v>258</v>
      </c>
      <c r="K24" s="324"/>
    </row>
    <row r="25" spans="1:254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217">
        <v>5</v>
      </c>
      <c r="F25" s="218">
        <f>E25*2</f>
        <v>10</v>
      </c>
      <c r="G25" s="219">
        <f ca="1">'1-DD'!C131/30*29</f>
        <v>7265.129297616073</v>
      </c>
      <c r="H25" s="219">
        <f t="shared" ref="H25:H28" ca="1" si="0">G25*2</f>
        <v>14530.258595232146</v>
      </c>
      <c r="I25" s="219">
        <f ca="1">H25*E25</f>
        <v>72651.292976160737</v>
      </c>
      <c r="J25" s="321">
        <f ca="1">I25*12</f>
        <v>871815.51571392885</v>
      </c>
      <c r="K25" s="325">
        <f>'1-DD'!D33*Cenargem!F25</f>
        <v>0</v>
      </c>
      <c r="L25" s="314"/>
    </row>
    <row r="26" spans="1:254" s="220" customFormat="1" ht="25.5" x14ac:dyDescent="0.2">
      <c r="A26" s="397"/>
      <c r="B26" s="216">
        <v>2</v>
      </c>
      <c r="C26" s="140" t="s">
        <v>305</v>
      </c>
      <c r="D26" s="140" t="s">
        <v>85</v>
      </c>
      <c r="E26" s="217">
        <v>1</v>
      </c>
      <c r="F26" s="218">
        <f t="shared" ref="F26:F29" si="1">E26*2</f>
        <v>2</v>
      </c>
      <c r="G26" s="219">
        <f ca="1">'2-DDM '!C131/30*29</f>
        <v>8233.7920339219836</v>
      </c>
      <c r="H26" s="219">
        <f t="shared" ca="1" si="0"/>
        <v>16467.584067843967</v>
      </c>
      <c r="I26" s="219">
        <f ca="1">H26*E26</f>
        <v>16467.584067843967</v>
      </c>
      <c r="J26" s="321">
        <f ca="1">I26*12</f>
        <v>197611.00881412759</v>
      </c>
      <c r="K26" s="325">
        <f>'2-DDM '!E33*Cenargem!E26</f>
        <v>1247.4007588900001</v>
      </c>
      <c r="L26" s="314"/>
    </row>
    <row r="27" spans="1:254" s="220" customFormat="1" ht="25.5" x14ac:dyDescent="0.2">
      <c r="A27" s="397"/>
      <c r="B27" s="216">
        <v>4</v>
      </c>
      <c r="C27" s="140" t="s">
        <v>307</v>
      </c>
      <c r="D27" s="140" t="s">
        <v>84</v>
      </c>
      <c r="E27" s="217">
        <v>4</v>
      </c>
      <c r="F27" s="218">
        <f t="shared" si="1"/>
        <v>8</v>
      </c>
      <c r="G27" s="219">
        <f ca="1">'4-AN'!C131/30*29</f>
        <v>7979.570728532447</v>
      </c>
      <c r="H27" s="219">
        <f t="shared" ca="1" si="0"/>
        <v>15959.141457064894</v>
      </c>
      <c r="I27" s="219">
        <f ca="1">H27*E27</f>
        <v>63836.565828259576</v>
      </c>
      <c r="J27" s="321">
        <f t="shared" ref="J27:J28" ca="1" si="2">I27*12</f>
        <v>766038.78993911494</v>
      </c>
      <c r="K27" s="325">
        <f>'4-AN'!D33*E27</f>
        <v>5030.8394242836366</v>
      </c>
      <c r="L27" s="314"/>
    </row>
    <row r="28" spans="1:254" s="220" customFormat="1" ht="25.5" x14ac:dyDescent="0.2">
      <c r="A28" s="397"/>
      <c r="B28" s="216">
        <v>5</v>
      </c>
      <c r="C28" s="140" t="s">
        <v>308</v>
      </c>
      <c r="D28" s="140" t="s">
        <v>85</v>
      </c>
      <c r="E28" s="217">
        <v>1</v>
      </c>
      <c r="F28" s="218">
        <f t="shared" si="1"/>
        <v>2</v>
      </c>
      <c r="G28" s="219">
        <f ca="1">'5-AD'!C131/30*29</f>
        <v>7276.3960524661607</v>
      </c>
      <c r="H28" s="219">
        <f t="shared" ca="1" si="0"/>
        <v>14552.792104932321</v>
      </c>
      <c r="I28" s="219">
        <f ca="1">H28*E28</f>
        <v>14552.792104932321</v>
      </c>
      <c r="J28" s="321">
        <f t="shared" ca="1" si="2"/>
        <v>174633.50525918786</v>
      </c>
      <c r="K28" s="325">
        <f>'5-AD'!D33*Cenargem!E28</f>
        <v>1134.0006899</v>
      </c>
      <c r="L28" s="314"/>
    </row>
    <row r="29" spans="1:254" s="220" customFormat="1" ht="25.5" customHeight="1" x14ac:dyDescent="0.2">
      <c r="A29" s="397"/>
      <c r="B29" s="216">
        <v>6</v>
      </c>
      <c r="C29" s="140" t="s">
        <v>309</v>
      </c>
      <c r="D29" s="140" t="s">
        <v>84</v>
      </c>
      <c r="E29" s="217">
        <v>1</v>
      </c>
      <c r="F29" s="218">
        <f t="shared" si="1"/>
        <v>2</v>
      </c>
      <c r="G29" s="219">
        <f ca="1">'6-ANM'!C131/30*29</f>
        <v>9031.9183498349739</v>
      </c>
      <c r="H29" s="219">
        <f ca="1">G29*2</f>
        <v>18063.836699669948</v>
      </c>
      <c r="I29" s="219">
        <f ca="1">H29*E29</f>
        <v>18063.836699669948</v>
      </c>
      <c r="J29" s="321">
        <f ca="1">I29*12</f>
        <v>216766.04039603937</v>
      </c>
      <c r="K29" s="325">
        <f>'6-ANM'!D33*Cenargem!E29</f>
        <v>1383.4808416780002</v>
      </c>
      <c r="L29" s="314"/>
    </row>
    <row r="30" spans="1:254" s="215" customFormat="1" ht="15.75" customHeight="1" x14ac:dyDescent="0.2">
      <c r="A30" s="383" t="s">
        <v>259</v>
      </c>
      <c r="B30" s="384"/>
      <c r="C30" s="384"/>
      <c r="D30" s="384"/>
      <c r="E30" s="221">
        <f>SUM(E25:E29)</f>
        <v>12</v>
      </c>
      <c r="F30" s="222">
        <f>SUM(F25:F29)</f>
        <v>24</v>
      </c>
      <c r="G30" s="223"/>
      <c r="H30" s="224"/>
      <c r="I30" s="224">
        <f ca="1">SUM(I25:I29)</f>
        <v>185572.07167686656</v>
      </c>
      <c r="J30" s="322">
        <f ca="1">SUM(J25:J29)</f>
        <v>2226864.8601223985</v>
      </c>
      <c r="K30" s="326">
        <f>SUM(K25:K29)</f>
        <v>8795.7217147516367</v>
      </c>
    </row>
    <row r="31" spans="1:254" s="215" customFormat="1" ht="15" customHeight="1" x14ac:dyDescent="0.2">
      <c r="A31" s="307"/>
      <c r="B31" s="308"/>
      <c r="C31" s="308"/>
      <c r="D31" s="308"/>
      <c r="E31" s="308"/>
      <c r="F31" s="308"/>
      <c r="G31" s="308"/>
      <c r="H31" s="308"/>
      <c r="I31" s="308"/>
      <c r="J31" s="309"/>
      <c r="K31" s="323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</row>
    <row r="32" spans="1:254" s="215" customFormat="1" ht="18" customHeight="1" x14ac:dyDescent="0.2">
      <c r="A32" s="387" t="s">
        <v>260</v>
      </c>
      <c r="B32" s="387"/>
      <c r="C32" s="387"/>
      <c r="D32" s="387"/>
      <c r="E32" s="387"/>
      <c r="F32" s="387"/>
      <c r="G32" s="387"/>
      <c r="H32" s="387"/>
      <c r="I32" s="387"/>
      <c r="J32" s="226">
        <f ca="1">I30</f>
        <v>185572.07167686656</v>
      </c>
      <c r="K32" s="301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5"/>
      <c r="AE32" s="225"/>
      <c r="AF32" s="225"/>
      <c r="AG32" s="225"/>
      <c r="AH32" s="225"/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5"/>
      <c r="BN32" s="225"/>
      <c r="BO32" s="225"/>
      <c r="BP32" s="225"/>
      <c r="BQ32" s="225"/>
      <c r="BR32" s="225"/>
      <c r="BS32" s="225"/>
      <c r="BT32" s="225"/>
      <c r="BU32" s="225"/>
      <c r="BV32" s="225"/>
      <c r="BW32" s="225"/>
      <c r="BX32" s="225"/>
      <c r="BY32" s="225"/>
      <c r="BZ32" s="225"/>
      <c r="CA32" s="225"/>
      <c r="CB32" s="225"/>
      <c r="CC32" s="225"/>
      <c r="CD32" s="225"/>
      <c r="CE32" s="225"/>
      <c r="CF32" s="225"/>
      <c r="CG32" s="225"/>
      <c r="CH32" s="225"/>
      <c r="CI32" s="225"/>
      <c r="CJ32" s="225"/>
      <c r="CK32" s="225"/>
      <c r="CL32" s="225"/>
      <c r="CM32" s="225"/>
      <c r="CN32" s="225"/>
      <c r="CO32" s="225"/>
      <c r="CP32" s="225"/>
      <c r="CQ32" s="225"/>
      <c r="CR32" s="225"/>
      <c r="CS32" s="225"/>
      <c r="CT32" s="225"/>
      <c r="CU32" s="225"/>
      <c r="CV32" s="225"/>
      <c r="CW32" s="225"/>
      <c r="CX32" s="225"/>
      <c r="CY32" s="225"/>
      <c r="CZ32" s="225"/>
      <c r="DA32" s="225"/>
      <c r="DB32" s="225"/>
      <c r="DC32" s="225"/>
      <c r="DD32" s="225"/>
      <c r="DE32" s="225"/>
      <c r="DF32" s="225"/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  <c r="FH32" s="225"/>
      <c r="FI32" s="225"/>
      <c r="FJ32" s="225"/>
      <c r="FK32" s="225"/>
      <c r="FL32" s="225"/>
      <c r="FM32" s="225"/>
      <c r="FN32" s="225"/>
      <c r="FO32" s="225"/>
      <c r="FP32" s="225"/>
      <c r="FQ32" s="225"/>
      <c r="FR32" s="225"/>
      <c r="FS32" s="225"/>
      <c r="FT32" s="225"/>
      <c r="FU32" s="225"/>
      <c r="FV32" s="225"/>
      <c r="FW32" s="225"/>
      <c r="FX32" s="225"/>
      <c r="FY32" s="225"/>
      <c r="FZ32" s="225"/>
      <c r="GA32" s="225"/>
      <c r="GB32" s="225"/>
      <c r="GC32" s="225"/>
      <c r="GD32" s="225"/>
      <c r="GE32" s="225"/>
      <c r="GF32" s="225"/>
      <c r="GG32" s="225"/>
      <c r="GH32" s="225"/>
      <c r="GI32" s="225"/>
      <c r="GJ32" s="225"/>
      <c r="GK32" s="225"/>
      <c r="GL32" s="225"/>
      <c r="GM32" s="225"/>
      <c r="GN32" s="225"/>
      <c r="GO32" s="225"/>
      <c r="GP32" s="225"/>
      <c r="GQ32" s="225"/>
      <c r="GR32" s="225"/>
      <c r="GS32" s="225"/>
      <c r="GT32" s="225"/>
      <c r="GU32" s="225"/>
      <c r="GV32" s="225"/>
      <c r="GW32" s="225"/>
      <c r="GX32" s="225"/>
      <c r="GY32" s="225"/>
      <c r="GZ32" s="225"/>
      <c r="HA32" s="225"/>
      <c r="HB32" s="225"/>
      <c r="HC32" s="225"/>
      <c r="HD32" s="225"/>
      <c r="HE32" s="225"/>
      <c r="HF32" s="225"/>
      <c r="HG32" s="225"/>
      <c r="HH32" s="225"/>
      <c r="HI32" s="225"/>
      <c r="HJ32" s="225"/>
      <c r="HK32" s="225"/>
      <c r="HL32" s="225"/>
      <c r="HM32" s="225"/>
      <c r="HN32" s="225"/>
      <c r="HO32" s="225"/>
      <c r="HP32" s="225"/>
      <c r="HQ32" s="225"/>
      <c r="HR32" s="225"/>
      <c r="HS32" s="225"/>
      <c r="HT32" s="225"/>
      <c r="HU32" s="225"/>
      <c r="HV32" s="225"/>
      <c r="HW32" s="225"/>
      <c r="HX32" s="225"/>
      <c r="HY32" s="225"/>
      <c r="HZ32" s="225"/>
      <c r="IA32" s="225"/>
      <c r="IB32" s="225"/>
      <c r="IC32" s="225"/>
      <c r="ID32" s="225"/>
      <c r="IE32" s="225"/>
      <c r="IF32" s="225"/>
      <c r="IG32" s="225"/>
      <c r="IH32" s="225"/>
      <c r="II32" s="225"/>
      <c r="IJ32" s="225"/>
      <c r="IK32" s="225"/>
      <c r="IL32" s="225"/>
      <c r="IM32" s="225"/>
      <c r="IN32" s="225"/>
      <c r="IO32" s="225"/>
      <c r="IP32" s="225"/>
      <c r="IQ32" s="225"/>
      <c r="IR32" s="225"/>
      <c r="IS32" s="225"/>
      <c r="IT32" s="225"/>
    </row>
    <row r="33" spans="1:254" s="215" customFormat="1" ht="15" customHeight="1" x14ac:dyDescent="0.2">
      <c r="A33" s="388" t="s">
        <v>345</v>
      </c>
      <c r="B33" s="389"/>
      <c r="C33" s="389"/>
      <c r="D33" s="389"/>
      <c r="E33" s="389"/>
      <c r="F33" s="389"/>
      <c r="G33" s="389"/>
      <c r="H33" s="389"/>
      <c r="I33" s="389"/>
      <c r="J33" s="389"/>
      <c r="K33" s="302"/>
    </row>
    <row r="34" spans="1:254" s="215" customFormat="1" ht="5.25" customHeight="1" x14ac:dyDescent="0.2">
      <c r="A34" s="385"/>
      <c r="B34" s="386"/>
      <c r="C34" s="386"/>
      <c r="D34" s="386"/>
      <c r="E34" s="386"/>
      <c r="F34" s="386"/>
      <c r="G34" s="386"/>
      <c r="H34" s="386"/>
      <c r="I34" s="386"/>
      <c r="J34" s="390"/>
      <c r="K34" s="300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</row>
    <row r="35" spans="1:254" s="215" customFormat="1" ht="19.5" customHeight="1" x14ac:dyDescent="0.2">
      <c r="A35" s="387" t="s">
        <v>261</v>
      </c>
      <c r="B35" s="387"/>
      <c r="C35" s="387"/>
      <c r="D35" s="387"/>
      <c r="E35" s="387"/>
      <c r="F35" s="387"/>
      <c r="G35" s="387"/>
      <c r="H35" s="387"/>
      <c r="I35" s="387"/>
      <c r="J35" s="227">
        <v>12</v>
      </c>
      <c r="K35" s="303"/>
    </row>
    <row r="36" spans="1:254" s="215" customFormat="1" ht="5.25" customHeight="1" x14ac:dyDescent="0.2">
      <c r="A36" s="385"/>
      <c r="B36" s="386"/>
      <c r="C36" s="386"/>
      <c r="D36" s="386"/>
      <c r="E36" s="386"/>
      <c r="F36" s="386"/>
      <c r="G36" s="386"/>
      <c r="H36" s="386"/>
      <c r="I36" s="386"/>
      <c r="J36" s="390"/>
      <c r="K36" s="304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</row>
    <row r="37" spans="1:254" s="215" customFormat="1" ht="15" customHeight="1" x14ac:dyDescent="0.2">
      <c r="A37" s="391" t="s">
        <v>262</v>
      </c>
      <c r="B37" s="391"/>
      <c r="C37" s="391"/>
      <c r="D37" s="391"/>
      <c r="E37" s="391"/>
      <c r="F37" s="391"/>
      <c r="G37" s="391"/>
      <c r="H37" s="391"/>
      <c r="I37" s="391"/>
      <c r="J37" s="228">
        <f ca="1">J30</f>
        <v>2226864.8601223985</v>
      </c>
      <c r="K37" s="305"/>
    </row>
    <row r="38" spans="1:254" s="215" customFormat="1" ht="15" customHeight="1" x14ac:dyDescent="0.2">
      <c r="A38" s="388" t="s">
        <v>346</v>
      </c>
      <c r="B38" s="389"/>
      <c r="C38" s="389"/>
      <c r="D38" s="389"/>
      <c r="E38" s="389"/>
      <c r="F38" s="389"/>
      <c r="G38" s="389"/>
      <c r="H38" s="389"/>
      <c r="I38" s="389"/>
      <c r="J38" s="392"/>
      <c r="K38" s="306"/>
    </row>
    <row r="39" spans="1:254" s="215" customFormat="1" ht="9" customHeight="1" x14ac:dyDescent="0.2">
      <c r="A39" s="290"/>
      <c r="B39" s="291"/>
      <c r="C39" s="291"/>
      <c r="D39" s="291"/>
      <c r="E39" s="291"/>
      <c r="F39" s="291"/>
      <c r="G39" s="291"/>
      <c r="H39" s="291"/>
      <c r="I39" s="291"/>
      <c r="J39" s="292"/>
      <c r="K39" s="315"/>
    </row>
    <row r="40" spans="1:254" ht="18" customHeight="1" x14ac:dyDescent="0.2">
      <c r="A40" s="393" t="s">
        <v>193</v>
      </c>
      <c r="B40" s="394"/>
      <c r="C40" s="394"/>
      <c r="D40" s="394"/>
      <c r="E40" s="394"/>
      <c r="F40" s="394"/>
      <c r="G40" s="394"/>
      <c r="H40" s="394"/>
      <c r="I40" s="394"/>
      <c r="J40" s="395"/>
      <c r="K40" s="294">
        <f ca="1">I30*11%</f>
        <v>20412.927884455323</v>
      </c>
    </row>
    <row r="41" spans="1:254" ht="17.100000000000001" customHeight="1" x14ac:dyDescent="0.2">
      <c r="A41" s="375" t="s">
        <v>263</v>
      </c>
      <c r="B41" s="375"/>
      <c r="C41" s="375"/>
      <c r="D41" s="375"/>
      <c r="E41" s="375"/>
      <c r="F41" s="375"/>
      <c r="G41" s="375"/>
      <c r="H41" s="375"/>
      <c r="K41" s="22">
        <f ca="1">I30*5%</f>
        <v>9278.603583843329</v>
      </c>
    </row>
    <row r="42" spans="1:254" ht="17.100000000000001" customHeight="1" x14ac:dyDescent="0.2">
      <c r="A42" s="375" t="s">
        <v>264</v>
      </c>
      <c r="B42" s="375"/>
      <c r="C42" s="375"/>
      <c r="D42" s="375"/>
      <c r="E42" s="375"/>
      <c r="F42" s="375"/>
      <c r="G42" s="375"/>
      <c r="H42" s="375"/>
      <c r="K42" s="22">
        <f ca="1">I30*3.65%</f>
        <v>6773.3806162056289</v>
      </c>
    </row>
    <row r="43" spans="1:254" ht="17.100000000000001" customHeight="1" x14ac:dyDescent="0.25">
      <c r="A43" s="375" t="s">
        <v>265</v>
      </c>
      <c r="B43" s="375"/>
      <c r="C43" s="375"/>
      <c r="D43" s="375"/>
      <c r="E43" s="229"/>
      <c r="F43" s="229"/>
      <c r="G43" s="229"/>
      <c r="H43" s="376" t="s">
        <v>266</v>
      </c>
      <c r="I43" s="376"/>
      <c r="J43" s="376"/>
      <c r="K43" s="272">
        <f ca="1">I30*5.8%</f>
        <v>10763.180157258259</v>
      </c>
    </row>
    <row r="44" spans="1:254" ht="17.100000000000001" customHeight="1" x14ac:dyDescent="0.25">
      <c r="A44" s="375" t="s">
        <v>194</v>
      </c>
      <c r="B44" s="375"/>
      <c r="C44" s="375"/>
      <c r="D44" s="375"/>
      <c r="E44" s="229"/>
      <c r="F44" s="229"/>
      <c r="G44" s="229"/>
      <c r="H44" s="376" t="s">
        <v>267</v>
      </c>
      <c r="I44" s="376"/>
      <c r="J44" s="376"/>
      <c r="K44" s="319">
        <f>K30</f>
        <v>8795.7217147516367</v>
      </c>
    </row>
    <row r="45" spans="1:254" ht="17.100000000000001" customHeight="1" x14ac:dyDescent="0.25">
      <c r="A45" s="375" t="s">
        <v>268</v>
      </c>
      <c r="B45" s="375"/>
      <c r="C45" s="375"/>
      <c r="D45" s="375"/>
      <c r="E45" s="229"/>
      <c r="F45" s="229"/>
      <c r="G45" s="229"/>
      <c r="H45" s="376" t="s">
        <v>269</v>
      </c>
      <c r="I45" s="376"/>
      <c r="J45" s="376"/>
      <c r="K45" s="319">
        <f ca="1">I30-K40-K41-K42-K43-K44</f>
        <v>129548.25772035237</v>
      </c>
    </row>
    <row r="46" spans="1:254" ht="17.100000000000001" customHeight="1" thickBot="1" x14ac:dyDescent="0.3">
      <c r="A46" s="375" t="s">
        <v>195</v>
      </c>
      <c r="B46" s="375"/>
      <c r="C46" s="375"/>
      <c r="D46" s="375"/>
      <c r="E46" s="229"/>
      <c r="F46" s="229"/>
      <c r="G46" s="229"/>
      <c r="H46" s="376" t="s">
        <v>270</v>
      </c>
      <c r="I46" s="376"/>
      <c r="J46" s="376"/>
      <c r="K46" s="272"/>
    </row>
    <row r="47" spans="1:254" ht="33.75" customHeight="1" thickBot="1" x14ac:dyDescent="0.25">
      <c r="A47" s="405" t="s">
        <v>271</v>
      </c>
      <c r="B47" s="406"/>
      <c r="C47" s="406"/>
      <c r="D47" s="406"/>
      <c r="E47" s="406"/>
      <c r="F47" s="406"/>
      <c r="G47" s="406"/>
      <c r="H47" s="406"/>
      <c r="I47" s="406"/>
      <c r="J47" s="407"/>
      <c r="K47" s="294"/>
    </row>
    <row r="48" spans="1:254" ht="82.5" customHeight="1" x14ac:dyDescent="0.2">
      <c r="A48" s="408" t="s">
        <v>273</v>
      </c>
      <c r="B48" s="409"/>
      <c r="C48" s="409"/>
      <c r="D48" s="409"/>
      <c r="E48" s="409"/>
      <c r="F48" s="409"/>
      <c r="G48" s="409"/>
      <c r="H48" s="409"/>
      <c r="I48" s="409"/>
      <c r="J48" s="410"/>
      <c r="K48" s="295"/>
    </row>
    <row r="49" spans="1:11" ht="26.25" customHeight="1" x14ac:dyDescent="0.2">
      <c r="A49" s="368" t="s">
        <v>316</v>
      </c>
      <c r="B49" s="369"/>
      <c r="C49" s="369"/>
      <c r="D49" s="369"/>
      <c r="E49" s="369"/>
      <c r="F49" s="369"/>
      <c r="G49" s="369"/>
      <c r="H49" s="369"/>
      <c r="I49" s="369"/>
      <c r="J49" s="370"/>
      <c r="K49" s="208"/>
    </row>
    <row r="50" spans="1:11" ht="25.5" customHeight="1" x14ac:dyDescent="0.2">
      <c r="A50" s="368" t="s">
        <v>359</v>
      </c>
      <c r="B50" s="369"/>
      <c r="C50" s="369"/>
      <c r="D50" s="369"/>
      <c r="E50" s="369"/>
      <c r="F50" s="369"/>
      <c r="G50" s="369"/>
      <c r="H50" s="369"/>
      <c r="I50" s="369"/>
      <c r="J50" s="370"/>
      <c r="K50" s="208"/>
    </row>
    <row r="51" spans="1:11" ht="39" customHeight="1" x14ac:dyDescent="0.2">
      <c r="A51" s="368" t="s">
        <v>318</v>
      </c>
      <c r="B51" s="369"/>
      <c r="C51" s="369"/>
      <c r="D51" s="369"/>
      <c r="E51" s="369"/>
      <c r="F51" s="369"/>
      <c r="G51" s="369"/>
      <c r="H51" s="369"/>
      <c r="I51" s="369"/>
      <c r="J51" s="370"/>
      <c r="K51" s="208"/>
    </row>
    <row r="52" spans="1:11" ht="27.75" customHeight="1" x14ac:dyDescent="0.2">
      <c r="A52" s="368" t="s">
        <v>319</v>
      </c>
      <c r="B52" s="369"/>
      <c r="C52" s="369"/>
      <c r="D52" s="369"/>
      <c r="E52" s="369"/>
      <c r="F52" s="369"/>
      <c r="G52" s="369"/>
      <c r="H52" s="369"/>
      <c r="I52" s="369"/>
      <c r="J52" s="370"/>
      <c r="K52" s="208"/>
    </row>
    <row r="53" spans="1:11" ht="15.75" x14ac:dyDescent="0.2">
      <c r="A53" s="371"/>
      <c r="B53" s="372"/>
      <c r="C53" s="372"/>
      <c r="D53" s="372"/>
      <c r="E53" s="372"/>
      <c r="F53" s="372"/>
      <c r="G53" s="210"/>
      <c r="I53" s="209"/>
      <c r="J53" s="231"/>
      <c r="K53" s="209"/>
    </row>
    <row r="54" spans="1:11" ht="15.75" x14ac:dyDescent="0.2">
      <c r="A54" s="373"/>
      <c r="B54" s="374"/>
      <c r="C54" s="374"/>
      <c r="D54" s="374"/>
      <c r="E54" s="374"/>
      <c r="F54" s="374"/>
      <c r="G54" s="374"/>
      <c r="H54" s="374"/>
      <c r="I54" s="209"/>
      <c r="J54" s="231"/>
      <c r="K54" s="209"/>
    </row>
    <row r="55" spans="1:11" ht="15.75" x14ac:dyDescent="0.2">
      <c r="A55" s="373"/>
      <c r="B55" s="374"/>
      <c r="C55" s="374"/>
      <c r="D55" s="374"/>
      <c r="E55" s="374"/>
      <c r="F55" s="374"/>
      <c r="G55" s="374"/>
      <c r="H55" s="374"/>
      <c r="I55" s="209"/>
      <c r="J55" s="231"/>
      <c r="K55" s="209"/>
    </row>
    <row r="56" spans="1:11" ht="15.75" x14ac:dyDescent="0.2">
      <c r="A56" s="373"/>
      <c r="B56" s="374"/>
      <c r="C56" s="374"/>
      <c r="D56" s="374"/>
      <c r="E56" s="374"/>
      <c r="F56" s="374"/>
      <c r="G56" s="374"/>
      <c r="H56" s="374"/>
      <c r="I56" s="209"/>
      <c r="J56" s="231"/>
      <c r="K56" s="209"/>
    </row>
    <row r="57" spans="1:11" ht="15.75" x14ac:dyDescent="0.2">
      <c r="A57" s="373"/>
      <c r="B57" s="374"/>
      <c r="C57" s="374"/>
      <c r="D57" s="374"/>
      <c r="E57" s="374"/>
      <c r="F57" s="374"/>
      <c r="G57" s="374"/>
      <c r="H57" s="374"/>
      <c r="I57" s="209"/>
      <c r="J57" s="231"/>
      <c r="K57" s="209"/>
    </row>
    <row r="58" spans="1:11" ht="15.75" x14ac:dyDescent="0.2">
      <c r="A58" s="232"/>
      <c r="B58" s="233"/>
      <c r="C58" s="233"/>
      <c r="D58" s="233"/>
      <c r="E58" s="233"/>
      <c r="F58" s="233"/>
      <c r="G58" s="233"/>
      <c r="H58" s="234"/>
      <c r="I58" s="233"/>
      <c r="J58" s="235"/>
      <c r="K58" s="209"/>
    </row>
    <row r="59" spans="1:11" ht="15.75" x14ac:dyDescent="0.2">
      <c r="A59" s="209"/>
      <c r="B59" s="209"/>
      <c r="C59" s="209"/>
      <c r="D59" s="209"/>
      <c r="E59" s="209"/>
      <c r="F59" s="209"/>
      <c r="G59" s="209"/>
      <c r="H59" s="209"/>
      <c r="I59" s="209"/>
      <c r="J59" s="209"/>
      <c r="K59" s="209"/>
    </row>
  </sheetData>
  <mergeCells count="50">
    <mergeCell ref="A10:J10"/>
    <mergeCell ref="C2:J2"/>
    <mergeCell ref="A5:H5"/>
    <mergeCell ref="A6:H6"/>
    <mergeCell ref="A7:H7"/>
    <mergeCell ref="A9:J9"/>
    <mergeCell ref="A20:J20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J18"/>
    <mergeCell ref="A19:J19"/>
    <mergeCell ref="A37:I37"/>
    <mergeCell ref="A21:J21"/>
    <mergeCell ref="A22:J22"/>
    <mergeCell ref="A23:F23"/>
    <mergeCell ref="H23:K23"/>
    <mergeCell ref="A25:A29"/>
    <mergeCell ref="A30:D30"/>
    <mergeCell ref="A32:I32"/>
    <mergeCell ref="A33:J33"/>
    <mergeCell ref="A34:J34"/>
    <mergeCell ref="A35:I35"/>
    <mergeCell ref="A36:J36"/>
    <mergeCell ref="A38:J38"/>
    <mergeCell ref="A40:J40"/>
    <mergeCell ref="A41:H41"/>
    <mergeCell ref="A42:H42"/>
    <mergeCell ref="A43:D43"/>
    <mergeCell ref="H43:J43"/>
    <mergeCell ref="A44:D44"/>
    <mergeCell ref="H44:J44"/>
    <mergeCell ref="A45:D45"/>
    <mergeCell ref="H45:J45"/>
    <mergeCell ref="A46:D46"/>
    <mergeCell ref="H46:J46"/>
    <mergeCell ref="A53:F53"/>
    <mergeCell ref="A54:H57"/>
    <mergeCell ref="A47:J47"/>
    <mergeCell ref="A48:J48"/>
    <mergeCell ref="A49:J49"/>
    <mergeCell ref="A50:J50"/>
    <mergeCell ref="A51:J51"/>
    <mergeCell ref="A52:J5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horizontalDpi="360" verticalDpi="360" r:id="rId1"/>
  <rowBreaks count="1" manualBreakCount="1">
    <brk id="46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T56"/>
  <sheetViews>
    <sheetView showGridLines="0" view="pageBreakPreview" topLeftCell="A23" zoomScale="112" zoomScaleNormal="100" zoomScaleSheetLayoutView="112" workbookViewId="0">
      <selection activeCell="A36" sqref="A36"/>
    </sheetView>
  </sheetViews>
  <sheetFormatPr defaultRowHeight="15" x14ac:dyDescent="0.2"/>
  <cols>
    <col min="1" max="1" width="4.7109375" style="22" customWidth="1"/>
    <col min="2" max="2" width="6.42578125" style="22" customWidth="1"/>
    <col min="3" max="3" width="20.85546875" style="22" customWidth="1"/>
    <col min="4" max="4" width="9.85546875" style="22" customWidth="1"/>
    <col min="5" max="5" width="10.42578125" style="22" customWidth="1"/>
    <col min="6" max="6" width="10.7109375" style="22" customWidth="1"/>
    <col min="7" max="7" width="13.85546875" style="22" customWidth="1"/>
    <col min="8" max="8" width="13.5703125" style="22" customWidth="1"/>
    <col min="9" max="9" width="15.28515625" style="22" customWidth="1"/>
    <col min="10" max="11" width="16.42578125" style="22" customWidth="1"/>
    <col min="12" max="12" width="11" style="22" bestFit="1" customWidth="1"/>
    <col min="13" max="245" width="9.140625" style="22"/>
    <col min="246" max="246" width="3.28515625" style="22" customWidth="1"/>
    <col min="247" max="247" width="29" style="22" customWidth="1"/>
    <col min="248" max="248" width="14" style="22" customWidth="1"/>
    <col min="249" max="249" width="11.28515625" style="22" customWidth="1"/>
    <col min="250" max="250" width="16.7109375" style="22" customWidth="1"/>
    <col min="251" max="251" width="8.85546875" style="22" customWidth="1"/>
    <col min="252" max="252" width="29" style="22" customWidth="1"/>
    <col min="253" max="501" width="9.140625" style="22"/>
    <col min="502" max="502" width="3.28515625" style="22" customWidth="1"/>
    <col min="503" max="503" width="29" style="22" customWidth="1"/>
    <col min="504" max="504" width="14" style="22" customWidth="1"/>
    <col min="505" max="505" width="11.28515625" style="22" customWidth="1"/>
    <col min="506" max="506" width="16.7109375" style="22" customWidth="1"/>
    <col min="507" max="507" width="8.85546875" style="22" customWidth="1"/>
    <col min="508" max="508" width="29" style="22" customWidth="1"/>
    <col min="509" max="757" width="9.140625" style="22"/>
    <col min="758" max="758" width="3.28515625" style="22" customWidth="1"/>
    <col min="759" max="759" width="29" style="22" customWidth="1"/>
    <col min="760" max="760" width="14" style="22" customWidth="1"/>
    <col min="761" max="761" width="11.28515625" style="22" customWidth="1"/>
    <col min="762" max="762" width="16.7109375" style="22" customWidth="1"/>
    <col min="763" max="763" width="8.85546875" style="22" customWidth="1"/>
    <col min="764" max="764" width="29" style="22" customWidth="1"/>
    <col min="765" max="1013" width="9.140625" style="22"/>
    <col min="1014" max="1014" width="3.28515625" style="22" customWidth="1"/>
    <col min="1015" max="1015" width="29" style="22" customWidth="1"/>
    <col min="1016" max="1016" width="14" style="22" customWidth="1"/>
    <col min="1017" max="1017" width="11.28515625" style="22" customWidth="1"/>
    <col min="1018" max="1018" width="16.7109375" style="22" customWidth="1"/>
    <col min="1019" max="1019" width="8.85546875" style="22" customWidth="1"/>
    <col min="1020" max="1020" width="29" style="22" customWidth="1"/>
    <col min="1021" max="1269" width="9.140625" style="22"/>
    <col min="1270" max="1270" width="3.28515625" style="22" customWidth="1"/>
    <col min="1271" max="1271" width="29" style="22" customWidth="1"/>
    <col min="1272" max="1272" width="14" style="22" customWidth="1"/>
    <col min="1273" max="1273" width="11.28515625" style="22" customWidth="1"/>
    <col min="1274" max="1274" width="16.7109375" style="22" customWidth="1"/>
    <col min="1275" max="1275" width="8.85546875" style="22" customWidth="1"/>
    <col min="1276" max="1276" width="29" style="22" customWidth="1"/>
    <col min="1277" max="1525" width="9.140625" style="22"/>
    <col min="1526" max="1526" width="3.28515625" style="22" customWidth="1"/>
    <col min="1527" max="1527" width="29" style="22" customWidth="1"/>
    <col min="1528" max="1528" width="14" style="22" customWidth="1"/>
    <col min="1529" max="1529" width="11.28515625" style="22" customWidth="1"/>
    <col min="1530" max="1530" width="16.7109375" style="22" customWidth="1"/>
    <col min="1531" max="1531" width="8.85546875" style="22" customWidth="1"/>
    <col min="1532" max="1532" width="29" style="22" customWidth="1"/>
    <col min="1533" max="1781" width="9.140625" style="22"/>
    <col min="1782" max="1782" width="3.28515625" style="22" customWidth="1"/>
    <col min="1783" max="1783" width="29" style="22" customWidth="1"/>
    <col min="1784" max="1784" width="14" style="22" customWidth="1"/>
    <col min="1785" max="1785" width="11.28515625" style="22" customWidth="1"/>
    <col min="1786" max="1786" width="16.7109375" style="22" customWidth="1"/>
    <col min="1787" max="1787" width="8.85546875" style="22" customWidth="1"/>
    <col min="1788" max="1788" width="29" style="22" customWidth="1"/>
    <col min="1789" max="2037" width="9.140625" style="22"/>
    <col min="2038" max="2038" width="3.28515625" style="22" customWidth="1"/>
    <col min="2039" max="2039" width="29" style="22" customWidth="1"/>
    <col min="2040" max="2040" width="14" style="22" customWidth="1"/>
    <col min="2041" max="2041" width="11.28515625" style="22" customWidth="1"/>
    <col min="2042" max="2042" width="16.7109375" style="22" customWidth="1"/>
    <col min="2043" max="2043" width="8.85546875" style="22" customWidth="1"/>
    <col min="2044" max="2044" width="29" style="22" customWidth="1"/>
    <col min="2045" max="2293" width="9.140625" style="22"/>
    <col min="2294" max="2294" width="3.28515625" style="22" customWidth="1"/>
    <col min="2295" max="2295" width="29" style="22" customWidth="1"/>
    <col min="2296" max="2296" width="14" style="22" customWidth="1"/>
    <col min="2297" max="2297" width="11.28515625" style="22" customWidth="1"/>
    <col min="2298" max="2298" width="16.7109375" style="22" customWidth="1"/>
    <col min="2299" max="2299" width="8.85546875" style="22" customWidth="1"/>
    <col min="2300" max="2300" width="29" style="22" customWidth="1"/>
    <col min="2301" max="2549" width="9.140625" style="22"/>
    <col min="2550" max="2550" width="3.28515625" style="22" customWidth="1"/>
    <col min="2551" max="2551" width="29" style="22" customWidth="1"/>
    <col min="2552" max="2552" width="14" style="22" customWidth="1"/>
    <col min="2553" max="2553" width="11.28515625" style="22" customWidth="1"/>
    <col min="2554" max="2554" width="16.7109375" style="22" customWidth="1"/>
    <col min="2555" max="2555" width="8.85546875" style="22" customWidth="1"/>
    <col min="2556" max="2556" width="29" style="22" customWidth="1"/>
    <col min="2557" max="2805" width="9.140625" style="22"/>
    <col min="2806" max="2806" width="3.28515625" style="22" customWidth="1"/>
    <col min="2807" max="2807" width="29" style="22" customWidth="1"/>
    <col min="2808" max="2808" width="14" style="22" customWidth="1"/>
    <col min="2809" max="2809" width="11.28515625" style="22" customWidth="1"/>
    <col min="2810" max="2810" width="16.7109375" style="22" customWidth="1"/>
    <col min="2811" max="2811" width="8.85546875" style="22" customWidth="1"/>
    <col min="2812" max="2812" width="29" style="22" customWidth="1"/>
    <col min="2813" max="3061" width="9.140625" style="22"/>
    <col min="3062" max="3062" width="3.28515625" style="22" customWidth="1"/>
    <col min="3063" max="3063" width="29" style="22" customWidth="1"/>
    <col min="3064" max="3064" width="14" style="22" customWidth="1"/>
    <col min="3065" max="3065" width="11.28515625" style="22" customWidth="1"/>
    <col min="3066" max="3066" width="16.7109375" style="22" customWidth="1"/>
    <col min="3067" max="3067" width="8.85546875" style="22" customWidth="1"/>
    <col min="3068" max="3068" width="29" style="22" customWidth="1"/>
    <col min="3069" max="3317" width="9.140625" style="22"/>
    <col min="3318" max="3318" width="3.28515625" style="22" customWidth="1"/>
    <col min="3319" max="3319" width="29" style="22" customWidth="1"/>
    <col min="3320" max="3320" width="14" style="22" customWidth="1"/>
    <col min="3321" max="3321" width="11.28515625" style="22" customWidth="1"/>
    <col min="3322" max="3322" width="16.7109375" style="22" customWidth="1"/>
    <col min="3323" max="3323" width="8.85546875" style="22" customWidth="1"/>
    <col min="3324" max="3324" width="29" style="22" customWidth="1"/>
    <col min="3325" max="3573" width="9.140625" style="22"/>
    <col min="3574" max="3574" width="3.28515625" style="22" customWidth="1"/>
    <col min="3575" max="3575" width="29" style="22" customWidth="1"/>
    <col min="3576" max="3576" width="14" style="22" customWidth="1"/>
    <col min="3577" max="3577" width="11.28515625" style="22" customWidth="1"/>
    <col min="3578" max="3578" width="16.7109375" style="22" customWidth="1"/>
    <col min="3579" max="3579" width="8.85546875" style="22" customWidth="1"/>
    <col min="3580" max="3580" width="29" style="22" customWidth="1"/>
    <col min="3581" max="3829" width="9.140625" style="22"/>
    <col min="3830" max="3830" width="3.28515625" style="22" customWidth="1"/>
    <col min="3831" max="3831" width="29" style="22" customWidth="1"/>
    <col min="3832" max="3832" width="14" style="22" customWidth="1"/>
    <col min="3833" max="3833" width="11.28515625" style="22" customWidth="1"/>
    <col min="3834" max="3834" width="16.7109375" style="22" customWidth="1"/>
    <col min="3835" max="3835" width="8.85546875" style="22" customWidth="1"/>
    <col min="3836" max="3836" width="29" style="22" customWidth="1"/>
    <col min="3837" max="4085" width="9.140625" style="22"/>
    <col min="4086" max="4086" width="3.28515625" style="22" customWidth="1"/>
    <col min="4087" max="4087" width="29" style="22" customWidth="1"/>
    <col min="4088" max="4088" width="14" style="22" customWidth="1"/>
    <col min="4089" max="4089" width="11.28515625" style="22" customWidth="1"/>
    <col min="4090" max="4090" width="16.7109375" style="22" customWidth="1"/>
    <col min="4091" max="4091" width="8.85546875" style="22" customWidth="1"/>
    <col min="4092" max="4092" width="29" style="22" customWidth="1"/>
    <col min="4093" max="4341" width="9.140625" style="22"/>
    <col min="4342" max="4342" width="3.28515625" style="22" customWidth="1"/>
    <col min="4343" max="4343" width="29" style="22" customWidth="1"/>
    <col min="4344" max="4344" width="14" style="22" customWidth="1"/>
    <col min="4345" max="4345" width="11.28515625" style="22" customWidth="1"/>
    <col min="4346" max="4346" width="16.7109375" style="22" customWidth="1"/>
    <col min="4347" max="4347" width="8.85546875" style="22" customWidth="1"/>
    <col min="4348" max="4348" width="29" style="22" customWidth="1"/>
    <col min="4349" max="4597" width="9.140625" style="22"/>
    <col min="4598" max="4598" width="3.28515625" style="22" customWidth="1"/>
    <col min="4599" max="4599" width="29" style="22" customWidth="1"/>
    <col min="4600" max="4600" width="14" style="22" customWidth="1"/>
    <col min="4601" max="4601" width="11.28515625" style="22" customWidth="1"/>
    <col min="4602" max="4602" width="16.7109375" style="22" customWidth="1"/>
    <col min="4603" max="4603" width="8.85546875" style="22" customWidth="1"/>
    <col min="4604" max="4604" width="29" style="22" customWidth="1"/>
    <col min="4605" max="4853" width="9.140625" style="22"/>
    <col min="4854" max="4854" width="3.28515625" style="22" customWidth="1"/>
    <col min="4855" max="4855" width="29" style="22" customWidth="1"/>
    <col min="4856" max="4856" width="14" style="22" customWidth="1"/>
    <col min="4857" max="4857" width="11.28515625" style="22" customWidth="1"/>
    <col min="4858" max="4858" width="16.7109375" style="22" customWidth="1"/>
    <col min="4859" max="4859" width="8.85546875" style="22" customWidth="1"/>
    <col min="4860" max="4860" width="29" style="22" customWidth="1"/>
    <col min="4861" max="5109" width="9.140625" style="22"/>
    <col min="5110" max="5110" width="3.28515625" style="22" customWidth="1"/>
    <col min="5111" max="5111" width="29" style="22" customWidth="1"/>
    <col min="5112" max="5112" width="14" style="22" customWidth="1"/>
    <col min="5113" max="5113" width="11.28515625" style="22" customWidth="1"/>
    <col min="5114" max="5114" width="16.7109375" style="22" customWidth="1"/>
    <col min="5115" max="5115" width="8.85546875" style="22" customWidth="1"/>
    <col min="5116" max="5116" width="29" style="22" customWidth="1"/>
    <col min="5117" max="5365" width="9.140625" style="22"/>
    <col min="5366" max="5366" width="3.28515625" style="22" customWidth="1"/>
    <col min="5367" max="5367" width="29" style="22" customWidth="1"/>
    <col min="5368" max="5368" width="14" style="22" customWidth="1"/>
    <col min="5369" max="5369" width="11.28515625" style="22" customWidth="1"/>
    <col min="5370" max="5370" width="16.7109375" style="22" customWidth="1"/>
    <col min="5371" max="5371" width="8.85546875" style="22" customWidth="1"/>
    <col min="5372" max="5372" width="29" style="22" customWidth="1"/>
    <col min="5373" max="5621" width="9.140625" style="22"/>
    <col min="5622" max="5622" width="3.28515625" style="22" customWidth="1"/>
    <col min="5623" max="5623" width="29" style="22" customWidth="1"/>
    <col min="5624" max="5624" width="14" style="22" customWidth="1"/>
    <col min="5625" max="5625" width="11.28515625" style="22" customWidth="1"/>
    <col min="5626" max="5626" width="16.7109375" style="22" customWidth="1"/>
    <col min="5627" max="5627" width="8.85546875" style="22" customWidth="1"/>
    <col min="5628" max="5628" width="29" style="22" customWidth="1"/>
    <col min="5629" max="5877" width="9.140625" style="22"/>
    <col min="5878" max="5878" width="3.28515625" style="22" customWidth="1"/>
    <col min="5879" max="5879" width="29" style="22" customWidth="1"/>
    <col min="5880" max="5880" width="14" style="22" customWidth="1"/>
    <col min="5881" max="5881" width="11.28515625" style="22" customWidth="1"/>
    <col min="5882" max="5882" width="16.7109375" style="22" customWidth="1"/>
    <col min="5883" max="5883" width="8.85546875" style="22" customWidth="1"/>
    <col min="5884" max="5884" width="29" style="22" customWidth="1"/>
    <col min="5885" max="6133" width="9.140625" style="22"/>
    <col min="6134" max="6134" width="3.28515625" style="22" customWidth="1"/>
    <col min="6135" max="6135" width="29" style="22" customWidth="1"/>
    <col min="6136" max="6136" width="14" style="22" customWidth="1"/>
    <col min="6137" max="6137" width="11.28515625" style="22" customWidth="1"/>
    <col min="6138" max="6138" width="16.7109375" style="22" customWidth="1"/>
    <col min="6139" max="6139" width="8.85546875" style="22" customWidth="1"/>
    <col min="6140" max="6140" width="29" style="22" customWidth="1"/>
    <col min="6141" max="6389" width="9.140625" style="22"/>
    <col min="6390" max="6390" width="3.28515625" style="22" customWidth="1"/>
    <col min="6391" max="6391" width="29" style="22" customWidth="1"/>
    <col min="6392" max="6392" width="14" style="22" customWidth="1"/>
    <col min="6393" max="6393" width="11.28515625" style="22" customWidth="1"/>
    <col min="6394" max="6394" width="16.7109375" style="22" customWidth="1"/>
    <col min="6395" max="6395" width="8.85546875" style="22" customWidth="1"/>
    <col min="6396" max="6396" width="29" style="22" customWidth="1"/>
    <col min="6397" max="6645" width="9.140625" style="22"/>
    <col min="6646" max="6646" width="3.28515625" style="22" customWidth="1"/>
    <col min="6647" max="6647" width="29" style="22" customWidth="1"/>
    <col min="6648" max="6648" width="14" style="22" customWidth="1"/>
    <col min="6649" max="6649" width="11.28515625" style="22" customWidth="1"/>
    <col min="6650" max="6650" width="16.7109375" style="22" customWidth="1"/>
    <col min="6651" max="6651" width="8.85546875" style="22" customWidth="1"/>
    <col min="6652" max="6652" width="29" style="22" customWidth="1"/>
    <col min="6653" max="6901" width="9.140625" style="22"/>
    <col min="6902" max="6902" width="3.28515625" style="22" customWidth="1"/>
    <col min="6903" max="6903" width="29" style="22" customWidth="1"/>
    <col min="6904" max="6904" width="14" style="22" customWidth="1"/>
    <col min="6905" max="6905" width="11.28515625" style="22" customWidth="1"/>
    <col min="6906" max="6906" width="16.7109375" style="22" customWidth="1"/>
    <col min="6907" max="6907" width="8.85546875" style="22" customWidth="1"/>
    <col min="6908" max="6908" width="29" style="22" customWidth="1"/>
    <col min="6909" max="7157" width="9.140625" style="22"/>
    <col min="7158" max="7158" width="3.28515625" style="22" customWidth="1"/>
    <col min="7159" max="7159" width="29" style="22" customWidth="1"/>
    <col min="7160" max="7160" width="14" style="22" customWidth="1"/>
    <col min="7161" max="7161" width="11.28515625" style="22" customWidth="1"/>
    <col min="7162" max="7162" width="16.7109375" style="22" customWidth="1"/>
    <col min="7163" max="7163" width="8.85546875" style="22" customWidth="1"/>
    <col min="7164" max="7164" width="29" style="22" customWidth="1"/>
    <col min="7165" max="7413" width="9.140625" style="22"/>
    <col min="7414" max="7414" width="3.28515625" style="22" customWidth="1"/>
    <col min="7415" max="7415" width="29" style="22" customWidth="1"/>
    <col min="7416" max="7416" width="14" style="22" customWidth="1"/>
    <col min="7417" max="7417" width="11.28515625" style="22" customWidth="1"/>
    <col min="7418" max="7418" width="16.7109375" style="22" customWidth="1"/>
    <col min="7419" max="7419" width="8.85546875" style="22" customWidth="1"/>
    <col min="7420" max="7420" width="29" style="22" customWidth="1"/>
    <col min="7421" max="7669" width="9.140625" style="22"/>
    <col min="7670" max="7670" width="3.28515625" style="22" customWidth="1"/>
    <col min="7671" max="7671" width="29" style="22" customWidth="1"/>
    <col min="7672" max="7672" width="14" style="22" customWidth="1"/>
    <col min="7673" max="7673" width="11.28515625" style="22" customWidth="1"/>
    <col min="7674" max="7674" width="16.7109375" style="22" customWidth="1"/>
    <col min="7675" max="7675" width="8.85546875" style="22" customWidth="1"/>
    <col min="7676" max="7676" width="29" style="22" customWidth="1"/>
    <col min="7677" max="7925" width="9.140625" style="22"/>
    <col min="7926" max="7926" width="3.28515625" style="22" customWidth="1"/>
    <col min="7927" max="7927" width="29" style="22" customWidth="1"/>
    <col min="7928" max="7928" width="14" style="22" customWidth="1"/>
    <col min="7929" max="7929" width="11.28515625" style="22" customWidth="1"/>
    <col min="7930" max="7930" width="16.7109375" style="22" customWidth="1"/>
    <col min="7931" max="7931" width="8.85546875" style="22" customWidth="1"/>
    <col min="7932" max="7932" width="29" style="22" customWidth="1"/>
    <col min="7933" max="8181" width="9.140625" style="22"/>
    <col min="8182" max="8182" width="3.28515625" style="22" customWidth="1"/>
    <col min="8183" max="8183" width="29" style="22" customWidth="1"/>
    <col min="8184" max="8184" width="14" style="22" customWidth="1"/>
    <col min="8185" max="8185" width="11.28515625" style="22" customWidth="1"/>
    <col min="8186" max="8186" width="16.7109375" style="22" customWidth="1"/>
    <col min="8187" max="8187" width="8.85546875" style="22" customWidth="1"/>
    <col min="8188" max="8188" width="29" style="22" customWidth="1"/>
    <col min="8189" max="8437" width="9.140625" style="22"/>
    <col min="8438" max="8438" width="3.28515625" style="22" customWidth="1"/>
    <col min="8439" max="8439" width="29" style="22" customWidth="1"/>
    <col min="8440" max="8440" width="14" style="22" customWidth="1"/>
    <col min="8441" max="8441" width="11.28515625" style="22" customWidth="1"/>
    <col min="8442" max="8442" width="16.7109375" style="22" customWidth="1"/>
    <col min="8443" max="8443" width="8.85546875" style="22" customWidth="1"/>
    <col min="8444" max="8444" width="29" style="22" customWidth="1"/>
    <col min="8445" max="8693" width="9.140625" style="22"/>
    <col min="8694" max="8694" width="3.28515625" style="22" customWidth="1"/>
    <col min="8695" max="8695" width="29" style="22" customWidth="1"/>
    <col min="8696" max="8696" width="14" style="22" customWidth="1"/>
    <col min="8697" max="8697" width="11.28515625" style="22" customWidth="1"/>
    <col min="8698" max="8698" width="16.7109375" style="22" customWidth="1"/>
    <col min="8699" max="8699" width="8.85546875" style="22" customWidth="1"/>
    <col min="8700" max="8700" width="29" style="22" customWidth="1"/>
    <col min="8701" max="8949" width="9.140625" style="22"/>
    <col min="8950" max="8950" width="3.28515625" style="22" customWidth="1"/>
    <col min="8951" max="8951" width="29" style="22" customWidth="1"/>
    <col min="8952" max="8952" width="14" style="22" customWidth="1"/>
    <col min="8953" max="8953" width="11.28515625" style="22" customWidth="1"/>
    <col min="8954" max="8954" width="16.7109375" style="22" customWidth="1"/>
    <col min="8955" max="8955" width="8.85546875" style="22" customWidth="1"/>
    <col min="8956" max="8956" width="29" style="22" customWidth="1"/>
    <col min="8957" max="9205" width="9.140625" style="22"/>
    <col min="9206" max="9206" width="3.28515625" style="22" customWidth="1"/>
    <col min="9207" max="9207" width="29" style="22" customWidth="1"/>
    <col min="9208" max="9208" width="14" style="22" customWidth="1"/>
    <col min="9209" max="9209" width="11.28515625" style="22" customWidth="1"/>
    <col min="9210" max="9210" width="16.7109375" style="22" customWidth="1"/>
    <col min="9211" max="9211" width="8.85546875" style="22" customWidth="1"/>
    <col min="9212" max="9212" width="29" style="22" customWidth="1"/>
    <col min="9213" max="9461" width="9.140625" style="22"/>
    <col min="9462" max="9462" width="3.28515625" style="22" customWidth="1"/>
    <col min="9463" max="9463" width="29" style="22" customWidth="1"/>
    <col min="9464" max="9464" width="14" style="22" customWidth="1"/>
    <col min="9465" max="9465" width="11.28515625" style="22" customWidth="1"/>
    <col min="9466" max="9466" width="16.7109375" style="22" customWidth="1"/>
    <col min="9467" max="9467" width="8.85546875" style="22" customWidth="1"/>
    <col min="9468" max="9468" width="29" style="22" customWidth="1"/>
    <col min="9469" max="9717" width="9.140625" style="22"/>
    <col min="9718" max="9718" width="3.28515625" style="22" customWidth="1"/>
    <col min="9719" max="9719" width="29" style="22" customWidth="1"/>
    <col min="9720" max="9720" width="14" style="22" customWidth="1"/>
    <col min="9721" max="9721" width="11.28515625" style="22" customWidth="1"/>
    <col min="9722" max="9722" width="16.7109375" style="22" customWidth="1"/>
    <col min="9723" max="9723" width="8.85546875" style="22" customWidth="1"/>
    <col min="9724" max="9724" width="29" style="22" customWidth="1"/>
    <col min="9725" max="9973" width="9.140625" style="22"/>
    <col min="9974" max="9974" width="3.28515625" style="22" customWidth="1"/>
    <col min="9975" max="9975" width="29" style="22" customWidth="1"/>
    <col min="9976" max="9976" width="14" style="22" customWidth="1"/>
    <col min="9977" max="9977" width="11.28515625" style="22" customWidth="1"/>
    <col min="9978" max="9978" width="16.7109375" style="22" customWidth="1"/>
    <col min="9979" max="9979" width="8.85546875" style="22" customWidth="1"/>
    <col min="9980" max="9980" width="29" style="22" customWidth="1"/>
    <col min="9981" max="10229" width="9.140625" style="22"/>
    <col min="10230" max="10230" width="3.28515625" style="22" customWidth="1"/>
    <col min="10231" max="10231" width="29" style="22" customWidth="1"/>
    <col min="10232" max="10232" width="14" style="22" customWidth="1"/>
    <col min="10233" max="10233" width="11.28515625" style="22" customWidth="1"/>
    <col min="10234" max="10234" width="16.7109375" style="22" customWidth="1"/>
    <col min="10235" max="10235" width="8.85546875" style="22" customWidth="1"/>
    <col min="10236" max="10236" width="29" style="22" customWidth="1"/>
    <col min="10237" max="10485" width="9.140625" style="22"/>
    <col min="10486" max="10486" width="3.28515625" style="22" customWidth="1"/>
    <col min="10487" max="10487" width="29" style="22" customWidth="1"/>
    <col min="10488" max="10488" width="14" style="22" customWidth="1"/>
    <col min="10489" max="10489" width="11.28515625" style="22" customWidth="1"/>
    <col min="10490" max="10490" width="16.7109375" style="22" customWidth="1"/>
    <col min="10491" max="10491" width="8.85546875" style="22" customWidth="1"/>
    <col min="10492" max="10492" width="29" style="22" customWidth="1"/>
    <col min="10493" max="10741" width="9.140625" style="22"/>
    <col min="10742" max="10742" width="3.28515625" style="22" customWidth="1"/>
    <col min="10743" max="10743" width="29" style="22" customWidth="1"/>
    <col min="10744" max="10744" width="14" style="22" customWidth="1"/>
    <col min="10745" max="10745" width="11.28515625" style="22" customWidth="1"/>
    <col min="10746" max="10746" width="16.7109375" style="22" customWidth="1"/>
    <col min="10747" max="10747" width="8.85546875" style="22" customWidth="1"/>
    <col min="10748" max="10748" width="29" style="22" customWidth="1"/>
    <col min="10749" max="10997" width="9.140625" style="22"/>
    <col min="10998" max="10998" width="3.28515625" style="22" customWidth="1"/>
    <col min="10999" max="10999" width="29" style="22" customWidth="1"/>
    <col min="11000" max="11000" width="14" style="22" customWidth="1"/>
    <col min="11001" max="11001" width="11.28515625" style="22" customWidth="1"/>
    <col min="11002" max="11002" width="16.7109375" style="22" customWidth="1"/>
    <col min="11003" max="11003" width="8.85546875" style="22" customWidth="1"/>
    <col min="11004" max="11004" width="29" style="22" customWidth="1"/>
    <col min="11005" max="11253" width="9.140625" style="22"/>
    <col min="11254" max="11254" width="3.28515625" style="22" customWidth="1"/>
    <col min="11255" max="11255" width="29" style="22" customWidth="1"/>
    <col min="11256" max="11256" width="14" style="22" customWidth="1"/>
    <col min="11257" max="11257" width="11.28515625" style="22" customWidth="1"/>
    <col min="11258" max="11258" width="16.7109375" style="22" customWidth="1"/>
    <col min="11259" max="11259" width="8.85546875" style="22" customWidth="1"/>
    <col min="11260" max="11260" width="29" style="22" customWidth="1"/>
    <col min="11261" max="11509" width="9.140625" style="22"/>
    <col min="11510" max="11510" width="3.28515625" style="22" customWidth="1"/>
    <col min="11511" max="11511" width="29" style="22" customWidth="1"/>
    <col min="11512" max="11512" width="14" style="22" customWidth="1"/>
    <col min="11513" max="11513" width="11.28515625" style="22" customWidth="1"/>
    <col min="11514" max="11514" width="16.7109375" style="22" customWidth="1"/>
    <col min="11515" max="11515" width="8.85546875" style="22" customWidth="1"/>
    <col min="11516" max="11516" width="29" style="22" customWidth="1"/>
    <col min="11517" max="11765" width="9.140625" style="22"/>
    <col min="11766" max="11766" width="3.28515625" style="22" customWidth="1"/>
    <col min="11767" max="11767" width="29" style="22" customWidth="1"/>
    <col min="11768" max="11768" width="14" style="22" customWidth="1"/>
    <col min="11769" max="11769" width="11.28515625" style="22" customWidth="1"/>
    <col min="11770" max="11770" width="16.7109375" style="22" customWidth="1"/>
    <col min="11771" max="11771" width="8.85546875" style="22" customWidth="1"/>
    <col min="11772" max="11772" width="29" style="22" customWidth="1"/>
    <col min="11773" max="12021" width="9.140625" style="22"/>
    <col min="12022" max="12022" width="3.28515625" style="22" customWidth="1"/>
    <col min="12023" max="12023" width="29" style="22" customWidth="1"/>
    <col min="12024" max="12024" width="14" style="22" customWidth="1"/>
    <col min="12025" max="12025" width="11.28515625" style="22" customWidth="1"/>
    <col min="12026" max="12026" width="16.7109375" style="22" customWidth="1"/>
    <col min="12027" max="12027" width="8.85546875" style="22" customWidth="1"/>
    <col min="12028" max="12028" width="29" style="22" customWidth="1"/>
    <col min="12029" max="12277" width="9.140625" style="22"/>
    <col min="12278" max="12278" width="3.28515625" style="22" customWidth="1"/>
    <col min="12279" max="12279" width="29" style="22" customWidth="1"/>
    <col min="12280" max="12280" width="14" style="22" customWidth="1"/>
    <col min="12281" max="12281" width="11.28515625" style="22" customWidth="1"/>
    <col min="12282" max="12282" width="16.7109375" style="22" customWidth="1"/>
    <col min="12283" max="12283" width="8.85546875" style="22" customWidth="1"/>
    <col min="12284" max="12284" width="29" style="22" customWidth="1"/>
    <col min="12285" max="12533" width="9.140625" style="22"/>
    <col min="12534" max="12534" width="3.28515625" style="22" customWidth="1"/>
    <col min="12535" max="12535" width="29" style="22" customWidth="1"/>
    <col min="12536" max="12536" width="14" style="22" customWidth="1"/>
    <col min="12537" max="12537" width="11.28515625" style="22" customWidth="1"/>
    <col min="12538" max="12538" width="16.7109375" style="22" customWidth="1"/>
    <col min="12539" max="12539" width="8.85546875" style="22" customWidth="1"/>
    <col min="12540" max="12540" width="29" style="22" customWidth="1"/>
    <col min="12541" max="12789" width="9.140625" style="22"/>
    <col min="12790" max="12790" width="3.28515625" style="22" customWidth="1"/>
    <col min="12791" max="12791" width="29" style="22" customWidth="1"/>
    <col min="12792" max="12792" width="14" style="22" customWidth="1"/>
    <col min="12793" max="12793" width="11.28515625" style="22" customWidth="1"/>
    <col min="12794" max="12794" width="16.7109375" style="22" customWidth="1"/>
    <col min="12795" max="12795" width="8.85546875" style="22" customWidth="1"/>
    <col min="12796" max="12796" width="29" style="22" customWidth="1"/>
    <col min="12797" max="13045" width="9.140625" style="22"/>
    <col min="13046" max="13046" width="3.28515625" style="22" customWidth="1"/>
    <col min="13047" max="13047" width="29" style="22" customWidth="1"/>
    <col min="13048" max="13048" width="14" style="22" customWidth="1"/>
    <col min="13049" max="13049" width="11.28515625" style="22" customWidth="1"/>
    <col min="13050" max="13050" width="16.7109375" style="22" customWidth="1"/>
    <col min="13051" max="13051" width="8.85546875" style="22" customWidth="1"/>
    <col min="13052" max="13052" width="29" style="22" customWidth="1"/>
    <col min="13053" max="13301" width="9.140625" style="22"/>
    <col min="13302" max="13302" width="3.28515625" style="22" customWidth="1"/>
    <col min="13303" max="13303" width="29" style="22" customWidth="1"/>
    <col min="13304" max="13304" width="14" style="22" customWidth="1"/>
    <col min="13305" max="13305" width="11.28515625" style="22" customWidth="1"/>
    <col min="13306" max="13306" width="16.7109375" style="22" customWidth="1"/>
    <col min="13307" max="13307" width="8.85546875" style="22" customWidth="1"/>
    <col min="13308" max="13308" width="29" style="22" customWidth="1"/>
    <col min="13309" max="13557" width="9.140625" style="22"/>
    <col min="13558" max="13558" width="3.28515625" style="22" customWidth="1"/>
    <col min="13559" max="13559" width="29" style="22" customWidth="1"/>
    <col min="13560" max="13560" width="14" style="22" customWidth="1"/>
    <col min="13561" max="13561" width="11.28515625" style="22" customWidth="1"/>
    <col min="13562" max="13562" width="16.7109375" style="22" customWidth="1"/>
    <col min="13563" max="13563" width="8.85546875" style="22" customWidth="1"/>
    <col min="13564" max="13564" width="29" style="22" customWidth="1"/>
    <col min="13565" max="13813" width="9.140625" style="22"/>
    <col min="13814" max="13814" width="3.28515625" style="22" customWidth="1"/>
    <col min="13815" max="13815" width="29" style="22" customWidth="1"/>
    <col min="13816" max="13816" width="14" style="22" customWidth="1"/>
    <col min="13817" max="13817" width="11.28515625" style="22" customWidth="1"/>
    <col min="13818" max="13818" width="16.7109375" style="22" customWidth="1"/>
    <col min="13819" max="13819" width="8.85546875" style="22" customWidth="1"/>
    <col min="13820" max="13820" width="29" style="22" customWidth="1"/>
    <col min="13821" max="14069" width="9.140625" style="22"/>
    <col min="14070" max="14070" width="3.28515625" style="22" customWidth="1"/>
    <col min="14071" max="14071" width="29" style="22" customWidth="1"/>
    <col min="14072" max="14072" width="14" style="22" customWidth="1"/>
    <col min="14073" max="14073" width="11.28515625" style="22" customWidth="1"/>
    <col min="14074" max="14074" width="16.7109375" style="22" customWidth="1"/>
    <col min="14075" max="14075" width="8.85546875" style="22" customWidth="1"/>
    <col min="14076" max="14076" width="29" style="22" customWidth="1"/>
    <col min="14077" max="14325" width="9.140625" style="22"/>
    <col min="14326" max="14326" width="3.28515625" style="22" customWidth="1"/>
    <col min="14327" max="14327" width="29" style="22" customWidth="1"/>
    <col min="14328" max="14328" width="14" style="22" customWidth="1"/>
    <col min="14329" max="14329" width="11.28515625" style="22" customWidth="1"/>
    <col min="14330" max="14330" width="16.7109375" style="22" customWidth="1"/>
    <col min="14331" max="14331" width="8.85546875" style="22" customWidth="1"/>
    <col min="14332" max="14332" width="29" style="22" customWidth="1"/>
    <col min="14333" max="14581" width="9.140625" style="22"/>
    <col min="14582" max="14582" width="3.28515625" style="22" customWidth="1"/>
    <col min="14583" max="14583" width="29" style="22" customWidth="1"/>
    <col min="14584" max="14584" width="14" style="22" customWidth="1"/>
    <col min="14585" max="14585" width="11.28515625" style="22" customWidth="1"/>
    <col min="14586" max="14586" width="16.7109375" style="22" customWidth="1"/>
    <col min="14587" max="14587" width="8.85546875" style="22" customWidth="1"/>
    <col min="14588" max="14588" width="29" style="22" customWidth="1"/>
    <col min="14589" max="14837" width="9.140625" style="22"/>
    <col min="14838" max="14838" width="3.28515625" style="22" customWidth="1"/>
    <col min="14839" max="14839" width="29" style="22" customWidth="1"/>
    <col min="14840" max="14840" width="14" style="22" customWidth="1"/>
    <col min="14841" max="14841" width="11.28515625" style="22" customWidth="1"/>
    <col min="14842" max="14842" width="16.7109375" style="22" customWidth="1"/>
    <col min="14843" max="14843" width="8.85546875" style="22" customWidth="1"/>
    <col min="14844" max="14844" width="29" style="22" customWidth="1"/>
    <col min="14845" max="15093" width="9.140625" style="22"/>
    <col min="15094" max="15094" width="3.28515625" style="22" customWidth="1"/>
    <col min="15095" max="15095" width="29" style="22" customWidth="1"/>
    <col min="15096" max="15096" width="14" style="22" customWidth="1"/>
    <col min="15097" max="15097" width="11.28515625" style="22" customWidth="1"/>
    <col min="15098" max="15098" width="16.7109375" style="22" customWidth="1"/>
    <col min="15099" max="15099" width="8.85546875" style="22" customWidth="1"/>
    <col min="15100" max="15100" width="29" style="22" customWidth="1"/>
    <col min="15101" max="15349" width="9.140625" style="22"/>
    <col min="15350" max="15350" width="3.28515625" style="22" customWidth="1"/>
    <col min="15351" max="15351" width="29" style="22" customWidth="1"/>
    <col min="15352" max="15352" width="14" style="22" customWidth="1"/>
    <col min="15353" max="15353" width="11.28515625" style="22" customWidth="1"/>
    <col min="15354" max="15354" width="16.7109375" style="22" customWidth="1"/>
    <col min="15355" max="15355" width="8.85546875" style="22" customWidth="1"/>
    <col min="15356" max="15356" width="29" style="22" customWidth="1"/>
    <col min="15357" max="15605" width="9.140625" style="22"/>
    <col min="15606" max="15606" width="3.28515625" style="22" customWidth="1"/>
    <col min="15607" max="15607" width="29" style="22" customWidth="1"/>
    <col min="15608" max="15608" width="14" style="22" customWidth="1"/>
    <col min="15609" max="15609" width="11.28515625" style="22" customWidth="1"/>
    <col min="15610" max="15610" width="16.7109375" style="22" customWidth="1"/>
    <col min="15611" max="15611" width="8.85546875" style="22" customWidth="1"/>
    <col min="15612" max="15612" width="29" style="22" customWidth="1"/>
    <col min="15613" max="15861" width="9.140625" style="22"/>
    <col min="15862" max="15862" width="3.28515625" style="22" customWidth="1"/>
    <col min="15863" max="15863" width="29" style="22" customWidth="1"/>
    <col min="15864" max="15864" width="14" style="22" customWidth="1"/>
    <col min="15865" max="15865" width="11.28515625" style="22" customWidth="1"/>
    <col min="15866" max="15866" width="16.7109375" style="22" customWidth="1"/>
    <col min="15867" max="15867" width="8.85546875" style="22" customWidth="1"/>
    <col min="15868" max="15868" width="29" style="22" customWidth="1"/>
    <col min="15869" max="16117" width="9.140625" style="22"/>
    <col min="16118" max="16118" width="3.28515625" style="22" customWidth="1"/>
    <col min="16119" max="16119" width="29" style="22" customWidth="1"/>
    <col min="16120" max="16120" width="14" style="22" customWidth="1"/>
    <col min="16121" max="16121" width="11.28515625" style="22" customWidth="1"/>
    <col min="16122" max="16122" width="16.7109375" style="22" customWidth="1"/>
    <col min="16123" max="16123" width="8.85546875" style="22" customWidth="1"/>
    <col min="16124" max="16124" width="29" style="22" customWidth="1"/>
    <col min="16125" max="16384" width="9.140625" style="22"/>
  </cols>
  <sheetData>
    <row r="1" spans="1:245" ht="15.75" x14ac:dyDescent="0.2">
      <c r="C1" s="209"/>
      <c r="D1" s="209"/>
      <c r="E1" s="209"/>
      <c r="F1" s="209"/>
      <c r="G1" s="209"/>
      <c r="H1" s="209"/>
      <c r="I1" s="209"/>
      <c r="J1" s="209"/>
      <c r="K1" s="209"/>
    </row>
    <row r="2" spans="1:245" ht="30.75" x14ac:dyDescent="0.2">
      <c r="A2" s="210"/>
      <c r="B2" s="210"/>
      <c r="C2" s="411" t="s">
        <v>347</v>
      </c>
      <c r="D2" s="411"/>
      <c r="E2" s="411"/>
      <c r="F2" s="411"/>
      <c r="G2" s="411"/>
      <c r="H2" s="411"/>
      <c r="I2" s="411"/>
      <c r="J2" s="411"/>
      <c r="K2" s="296"/>
    </row>
    <row r="3" spans="1:245" ht="15.75" x14ac:dyDescent="0.2">
      <c r="A3" s="210"/>
      <c r="B3" s="210"/>
      <c r="C3" s="209"/>
      <c r="D3" s="209"/>
      <c r="E3" s="210"/>
      <c r="F3" s="210"/>
      <c r="G3" s="210"/>
      <c r="H3" s="209"/>
      <c r="I3" s="209"/>
      <c r="J3" s="209"/>
      <c r="K3" s="209"/>
    </row>
    <row r="4" spans="1:245" ht="21" customHeight="1" x14ac:dyDescent="0.2">
      <c r="A4" s="210"/>
      <c r="B4" s="210"/>
      <c r="C4" s="209"/>
      <c r="D4" s="209"/>
      <c r="E4" s="210"/>
      <c r="F4" s="210"/>
      <c r="G4" s="210"/>
      <c r="H4" s="209"/>
      <c r="I4" s="209"/>
      <c r="J4" s="209"/>
      <c r="K4" s="209"/>
    </row>
    <row r="5" spans="1:245" ht="15.75" x14ac:dyDescent="0.25">
      <c r="A5" s="402" t="s">
        <v>247</v>
      </c>
      <c r="B5" s="402"/>
      <c r="C5" s="402"/>
      <c r="D5" s="402"/>
      <c r="E5" s="402"/>
      <c r="F5" s="402"/>
      <c r="G5" s="402"/>
      <c r="H5" s="402"/>
      <c r="I5" s="209"/>
      <c r="J5" s="209"/>
      <c r="K5" s="209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  <c r="DE5" s="211"/>
      <c r="DF5" s="211"/>
      <c r="DG5" s="211"/>
      <c r="DH5" s="211"/>
      <c r="DI5" s="211"/>
      <c r="DJ5" s="211"/>
      <c r="DK5" s="211"/>
      <c r="DL5" s="211"/>
      <c r="DM5" s="211"/>
      <c r="DN5" s="211"/>
      <c r="DO5" s="211"/>
      <c r="DP5" s="211"/>
      <c r="DQ5" s="211"/>
      <c r="DR5" s="211"/>
      <c r="DS5" s="211"/>
      <c r="DT5" s="211"/>
      <c r="DU5" s="211"/>
      <c r="DV5" s="211"/>
      <c r="DW5" s="211"/>
      <c r="DX5" s="211"/>
      <c r="DY5" s="211"/>
      <c r="DZ5" s="211"/>
      <c r="EA5" s="211"/>
      <c r="EB5" s="211"/>
      <c r="EC5" s="211"/>
      <c r="ED5" s="211"/>
      <c r="EE5" s="211"/>
      <c r="EF5" s="211"/>
      <c r="EG5" s="211"/>
      <c r="EH5" s="211"/>
      <c r="EI5" s="211"/>
      <c r="EJ5" s="211"/>
      <c r="EK5" s="211"/>
      <c r="EL5" s="211"/>
      <c r="EM5" s="211"/>
      <c r="EN5" s="211"/>
      <c r="EO5" s="211"/>
      <c r="EP5" s="211"/>
      <c r="EQ5" s="211"/>
      <c r="ER5" s="211"/>
      <c r="ES5" s="211"/>
      <c r="ET5" s="211"/>
      <c r="EU5" s="211"/>
      <c r="EV5" s="211"/>
      <c r="EW5" s="211"/>
      <c r="EX5" s="211"/>
      <c r="EY5" s="211"/>
      <c r="EZ5" s="211"/>
      <c r="FA5" s="211"/>
      <c r="FB5" s="211"/>
      <c r="FC5" s="211"/>
      <c r="FD5" s="211"/>
      <c r="FE5" s="211"/>
      <c r="FF5" s="211"/>
      <c r="FG5" s="211"/>
      <c r="FH5" s="211"/>
      <c r="FI5" s="211"/>
      <c r="FJ5" s="211"/>
      <c r="FK5" s="211"/>
      <c r="FL5" s="211"/>
      <c r="FM5" s="211"/>
      <c r="FN5" s="211"/>
      <c r="FO5" s="211"/>
      <c r="FP5" s="211"/>
      <c r="FQ5" s="211"/>
      <c r="FR5" s="211"/>
      <c r="FS5" s="211"/>
      <c r="FT5" s="211"/>
      <c r="FU5" s="211"/>
      <c r="FV5" s="211"/>
      <c r="FW5" s="211"/>
      <c r="FX5" s="211"/>
      <c r="FY5" s="211"/>
      <c r="FZ5" s="211"/>
      <c r="GA5" s="211"/>
      <c r="GB5" s="211"/>
      <c r="GC5" s="211"/>
      <c r="GD5" s="211"/>
      <c r="GE5" s="211"/>
      <c r="GF5" s="211"/>
      <c r="GG5" s="211"/>
      <c r="GH5" s="211"/>
      <c r="GI5" s="211"/>
      <c r="GJ5" s="211"/>
      <c r="GK5" s="211"/>
      <c r="GL5" s="211"/>
      <c r="GM5" s="211"/>
      <c r="GN5" s="211"/>
      <c r="GO5" s="211"/>
      <c r="GP5" s="211"/>
      <c r="GQ5" s="211"/>
      <c r="GR5" s="211"/>
      <c r="GS5" s="211"/>
      <c r="GT5" s="211"/>
      <c r="GU5" s="211"/>
      <c r="GV5" s="211"/>
      <c r="GW5" s="211"/>
      <c r="GX5" s="211"/>
      <c r="GY5" s="211"/>
      <c r="GZ5" s="211"/>
      <c r="HA5" s="211"/>
      <c r="HB5" s="211"/>
      <c r="HC5" s="211"/>
      <c r="HD5" s="211"/>
      <c r="HE5" s="211"/>
      <c r="HF5" s="211"/>
      <c r="HG5" s="211"/>
      <c r="HH5" s="211"/>
      <c r="HI5" s="211"/>
      <c r="HJ5" s="211"/>
      <c r="HK5" s="211"/>
      <c r="HL5" s="211"/>
      <c r="HM5" s="211"/>
      <c r="HN5" s="211"/>
      <c r="HO5" s="211"/>
      <c r="HP5" s="211"/>
      <c r="HQ5" s="211"/>
      <c r="HR5" s="211"/>
      <c r="HS5" s="211"/>
      <c r="HT5" s="211"/>
      <c r="HU5" s="211"/>
      <c r="HV5" s="211"/>
      <c r="HW5" s="211"/>
      <c r="HX5" s="211"/>
      <c r="HY5" s="211"/>
      <c r="HZ5" s="211"/>
      <c r="IA5" s="211"/>
      <c r="IB5" s="211"/>
      <c r="IC5" s="211"/>
      <c r="ID5" s="211"/>
      <c r="IE5" s="211"/>
      <c r="IF5" s="211"/>
      <c r="IG5" s="211"/>
      <c r="IH5" s="211"/>
      <c r="II5" s="211"/>
      <c r="IJ5" s="211"/>
      <c r="IK5" s="211"/>
    </row>
    <row r="6" spans="1:245" ht="18" x14ac:dyDescent="0.25">
      <c r="A6" s="403" t="s">
        <v>314</v>
      </c>
      <c r="B6" s="403"/>
      <c r="C6" s="403"/>
      <c r="D6" s="403"/>
      <c r="E6" s="403"/>
      <c r="F6" s="403"/>
      <c r="G6" s="403"/>
      <c r="H6" s="403"/>
      <c r="I6" s="209"/>
      <c r="J6" s="209"/>
      <c r="K6" s="209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11"/>
      <c r="BV6" s="211"/>
      <c r="BW6" s="211"/>
      <c r="BX6" s="211"/>
      <c r="BY6" s="211"/>
      <c r="BZ6" s="211"/>
      <c r="CA6" s="211"/>
      <c r="CB6" s="211"/>
      <c r="CC6" s="211"/>
      <c r="CD6" s="211"/>
      <c r="CE6" s="211"/>
      <c r="CF6" s="211"/>
      <c r="CG6" s="211"/>
      <c r="CH6" s="211"/>
      <c r="CI6" s="211"/>
      <c r="CJ6" s="211"/>
      <c r="CK6" s="211"/>
      <c r="CL6" s="211"/>
      <c r="CM6" s="211"/>
      <c r="CN6" s="211"/>
      <c r="CO6" s="211"/>
      <c r="CP6" s="211"/>
      <c r="CQ6" s="211"/>
      <c r="CR6" s="211"/>
      <c r="CS6" s="211"/>
      <c r="CT6" s="211"/>
      <c r="CU6" s="211"/>
      <c r="CV6" s="211"/>
      <c r="CW6" s="211"/>
      <c r="CX6" s="211"/>
      <c r="CY6" s="211"/>
      <c r="CZ6" s="211"/>
      <c r="DA6" s="211"/>
      <c r="DB6" s="211"/>
      <c r="DC6" s="211"/>
      <c r="DD6" s="211"/>
      <c r="DE6" s="211"/>
      <c r="DF6" s="211"/>
      <c r="DG6" s="211"/>
      <c r="DH6" s="211"/>
      <c r="DI6" s="211"/>
      <c r="DJ6" s="211"/>
      <c r="DK6" s="211"/>
      <c r="DL6" s="211"/>
      <c r="DM6" s="211"/>
      <c r="DN6" s="211"/>
      <c r="DO6" s="211"/>
      <c r="DP6" s="211"/>
      <c r="DQ6" s="211"/>
      <c r="DR6" s="211"/>
      <c r="DS6" s="211"/>
      <c r="DT6" s="211"/>
      <c r="DU6" s="211"/>
      <c r="DV6" s="211"/>
      <c r="DW6" s="211"/>
      <c r="DX6" s="211"/>
      <c r="DY6" s="211"/>
      <c r="DZ6" s="211"/>
      <c r="EA6" s="211"/>
      <c r="EB6" s="211"/>
      <c r="EC6" s="211"/>
      <c r="ED6" s="211"/>
      <c r="EE6" s="211"/>
      <c r="EF6" s="211"/>
      <c r="EG6" s="211"/>
      <c r="EH6" s="211"/>
      <c r="EI6" s="211"/>
      <c r="EJ6" s="211"/>
      <c r="EK6" s="211"/>
      <c r="EL6" s="211"/>
      <c r="EM6" s="211"/>
      <c r="EN6" s="211"/>
      <c r="EO6" s="211"/>
      <c r="EP6" s="211"/>
      <c r="EQ6" s="211"/>
      <c r="ER6" s="211"/>
      <c r="ES6" s="211"/>
      <c r="ET6" s="211"/>
      <c r="EU6" s="211"/>
      <c r="EV6" s="211"/>
      <c r="EW6" s="211"/>
      <c r="EX6" s="211"/>
      <c r="EY6" s="211"/>
      <c r="EZ6" s="211"/>
      <c r="FA6" s="211"/>
      <c r="FB6" s="211"/>
      <c r="FC6" s="211"/>
      <c r="FD6" s="211"/>
      <c r="FE6" s="211"/>
      <c r="FF6" s="211"/>
      <c r="FG6" s="211"/>
      <c r="FH6" s="211"/>
      <c r="FI6" s="211"/>
      <c r="FJ6" s="211"/>
      <c r="FK6" s="211"/>
      <c r="FL6" s="211"/>
      <c r="FM6" s="211"/>
      <c r="FN6" s="211"/>
      <c r="FO6" s="211"/>
      <c r="FP6" s="211"/>
      <c r="FQ6" s="211"/>
      <c r="FR6" s="211"/>
      <c r="FS6" s="211"/>
      <c r="FT6" s="211"/>
      <c r="FU6" s="211"/>
      <c r="FV6" s="211"/>
      <c r="FW6" s="211"/>
      <c r="FX6" s="211"/>
      <c r="FY6" s="211"/>
      <c r="FZ6" s="211"/>
      <c r="GA6" s="211"/>
      <c r="GB6" s="211"/>
      <c r="GC6" s="211"/>
      <c r="GD6" s="211"/>
      <c r="GE6" s="211"/>
      <c r="GF6" s="211"/>
      <c r="GG6" s="211"/>
      <c r="GH6" s="211"/>
      <c r="GI6" s="211"/>
      <c r="GJ6" s="211"/>
      <c r="GK6" s="211"/>
      <c r="GL6" s="211"/>
      <c r="GM6" s="211"/>
      <c r="GN6" s="211"/>
      <c r="GO6" s="211"/>
      <c r="GP6" s="211"/>
      <c r="GQ6" s="211"/>
      <c r="GR6" s="211"/>
      <c r="GS6" s="211"/>
      <c r="GT6" s="211"/>
      <c r="GU6" s="211"/>
      <c r="GV6" s="211"/>
      <c r="GW6" s="211"/>
      <c r="GX6" s="211"/>
      <c r="GY6" s="211"/>
      <c r="GZ6" s="211"/>
      <c r="HA6" s="211"/>
      <c r="HB6" s="211"/>
      <c r="HC6" s="211"/>
      <c r="HD6" s="211"/>
      <c r="HE6" s="211"/>
      <c r="HF6" s="211"/>
      <c r="HG6" s="211"/>
      <c r="HH6" s="211"/>
      <c r="HI6" s="211"/>
      <c r="HJ6" s="211"/>
      <c r="HK6" s="211"/>
      <c r="HL6" s="211"/>
      <c r="HM6" s="211"/>
      <c r="HN6" s="211"/>
      <c r="HO6" s="211"/>
      <c r="HP6" s="211"/>
      <c r="HQ6" s="211"/>
      <c r="HR6" s="211"/>
      <c r="HS6" s="211"/>
      <c r="HT6" s="211"/>
      <c r="HU6" s="211"/>
      <c r="HV6" s="211"/>
      <c r="HW6" s="211"/>
      <c r="HX6" s="211"/>
      <c r="HY6" s="211"/>
      <c r="HZ6" s="211"/>
      <c r="IA6" s="211"/>
      <c r="IB6" s="211"/>
      <c r="IC6" s="211"/>
      <c r="ID6" s="211"/>
      <c r="IE6" s="211"/>
      <c r="IF6" s="211"/>
      <c r="IG6" s="211"/>
      <c r="IH6" s="211"/>
      <c r="II6" s="211"/>
      <c r="IJ6" s="211"/>
      <c r="IK6" s="211"/>
    </row>
    <row r="7" spans="1:245" ht="15.75" x14ac:dyDescent="0.2">
      <c r="A7" s="404" t="s">
        <v>248</v>
      </c>
      <c r="B7" s="404"/>
      <c r="C7" s="404"/>
      <c r="D7" s="404"/>
      <c r="E7" s="404"/>
      <c r="F7" s="404"/>
      <c r="G7" s="404"/>
      <c r="H7" s="404"/>
      <c r="I7" s="209"/>
      <c r="J7" s="209"/>
      <c r="K7" s="209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  <c r="EF7" s="212"/>
      <c r="EG7" s="212"/>
      <c r="EH7" s="212"/>
      <c r="EI7" s="212"/>
      <c r="EJ7" s="212"/>
      <c r="EK7" s="212"/>
      <c r="EL7" s="212"/>
      <c r="EM7" s="212"/>
      <c r="EN7" s="212"/>
      <c r="EO7" s="212"/>
      <c r="EP7" s="212"/>
      <c r="EQ7" s="212"/>
      <c r="ER7" s="212"/>
      <c r="ES7" s="212"/>
      <c r="ET7" s="212"/>
      <c r="EU7" s="212"/>
      <c r="EV7" s="212"/>
      <c r="EW7" s="212"/>
      <c r="EX7" s="212"/>
      <c r="EY7" s="212"/>
      <c r="EZ7" s="212"/>
      <c r="FA7" s="212"/>
      <c r="FB7" s="212"/>
      <c r="FC7" s="212"/>
      <c r="FD7" s="212"/>
      <c r="FE7" s="212"/>
      <c r="FF7" s="212"/>
      <c r="FG7" s="212"/>
      <c r="FH7" s="212"/>
      <c r="FI7" s="212"/>
      <c r="FJ7" s="212"/>
      <c r="FK7" s="212"/>
      <c r="FL7" s="212"/>
      <c r="FM7" s="212"/>
      <c r="FN7" s="212"/>
      <c r="FO7" s="212"/>
      <c r="FP7" s="212"/>
      <c r="FQ7" s="212"/>
      <c r="FR7" s="212"/>
      <c r="FS7" s="212"/>
      <c r="FT7" s="212"/>
      <c r="FU7" s="212"/>
      <c r="FV7" s="212"/>
      <c r="FW7" s="212"/>
      <c r="FX7" s="212"/>
      <c r="FY7" s="212"/>
      <c r="FZ7" s="212"/>
      <c r="GA7" s="212"/>
      <c r="GB7" s="212"/>
      <c r="GC7" s="212"/>
      <c r="GD7" s="212"/>
      <c r="GE7" s="212"/>
      <c r="GF7" s="212"/>
      <c r="GG7" s="212"/>
      <c r="GH7" s="212"/>
      <c r="GI7" s="212"/>
      <c r="GJ7" s="212"/>
      <c r="GK7" s="212"/>
      <c r="GL7" s="212"/>
      <c r="GM7" s="212"/>
      <c r="GN7" s="212"/>
      <c r="GO7" s="212"/>
      <c r="GP7" s="212"/>
      <c r="GQ7" s="212"/>
      <c r="GR7" s="212"/>
      <c r="GS7" s="212"/>
      <c r="GT7" s="212"/>
      <c r="GU7" s="212"/>
      <c r="GV7" s="212"/>
      <c r="GW7" s="212"/>
      <c r="GX7" s="212"/>
      <c r="GY7" s="212"/>
      <c r="GZ7" s="212"/>
      <c r="HA7" s="212"/>
      <c r="HB7" s="212"/>
      <c r="HC7" s="212"/>
      <c r="HD7" s="212"/>
      <c r="HE7" s="212"/>
      <c r="HF7" s="212"/>
      <c r="HG7" s="212"/>
      <c r="HH7" s="212"/>
      <c r="HI7" s="212"/>
      <c r="HJ7" s="212"/>
      <c r="HK7" s="212"/>
      <c r="HL7" s="212"/>
      <c r="HM7" s="212"/>
      <c r="HN7" s="212"/>
      <c r="HO7" s="212"/>
      <c r="HP7" s="212"/>
      <c r="HQ7" s="212"/>
      <c r="HR7" s="212"/>
      <c r="HS7" s="212"/>
      <c r="HT7" s="212"/>
      <c r="HU7" s="212"/>
      <c r="HV7" s="212"/>
      <c r="HW7" s="212"/>
      <c r="HX7" s="212"/>
      <c r="HY7" s="212"/>
      <c r="HZ7" s="212"/>
      <c r="IA7" s="212"/>
      <c r="IB7" s="212"/>
      <c r="IC7" s="212"/>
      <c r="ID7" s="212"/>
      <c r="IE7" s="212"/>
      <c r="IF7" s="212"/>
      <c r="IG7" s="212"/>
      <c r="IH7" s="212"/>
      <c r="II7" s="212"/>
      <c r="IJ7" s="212"/>
      <c r="IK7" s="212"/>
    </row>
    <row r="8" spans="1:245" ht="15.75" x14ac:dyDescent="0.2">
      <c r="A8" s="209"/>
      <c r="B8" s="209"/>
      <c r="C8" s="209"/>
      <c r="D8" s="209"/>
      <c r="E8" s="209"/>
      <c r="F8" s="209"/>
      <c r="G8" s="209"/>
      <c r="I8" s="209"/>
      <c r="J8" s="209"/>
      <c r="K8" s="209"/>
    </row>
    <row r="9" spans="1:245" ht="15.75" customHeight="1" x14ac:dyDescent="0.2">
      <c r="A9" s="400" t="s">
        <v>249</v>
      </c>
      <c r="B9" s="400"/>
      <c r="C9" s="400"/>
      <c r="D9" s="400"/>
      <c r="E9" s="400"/>
      <c r="F9" s="400"/>
      <c r="G9" s="400"/>
      <c r="H9" s="400"/>
      <c r="I9" s="400"/>
      <c r="J9" s="400"/>
      <c r="K9" s="266"/>
    </row>
    <row r="10" spans="1:245" ht="15.75" customHeight="1" x14ac:dyDescent="0.2">
      <c r="A10" s="400" t="s">
        <v>315</v>
      </c>
      <c r="B10" s="400"/>
      <c r="C10" s="400"/>
      <c r="D10" s="400"/>
      <c r="E10" s="400"/>
      <c r="F10" s="400"/>
      <c r="G10" s="400"/>
      <c r="H10" s="400"/>
      <c r="I10" s="400"/>
      <c r="J10" s="400"/>
      <c r="K10" s="266"/>
    </row>
    <row r="11" spans="1:245" ht="15" customHeight="1" x14ac:dyDescent="0.2">
      <c r="A11" s="374"/>
      <c r="B11" s="374"/>
      <c r="C11" s="374"/>
      <c r="D11" s="374"/>
      <c r="E11" s="374"/>
      <c r="F11" s="374"/>
      <c r="G11" s="374"/>
      <c r="H11" s="374"/>
      <c r="I11" s="209"/>
      <c r="J11" s="209"/>
      <c r="K11" s="209"/>
    </row>
    <row r="12" spans="1:245" ht="16.5" customHeight="1" x14ac:dyDescent="0.2">
      <c r="A12" s="393" t="s">
        <v>250</v>
      </c>
      <c r="B12" s="394"/>
      <c r="C12" s="394"/>
      <c r="D12" s="394"/>
      <c r="E12" s="394"/>
      <c r="F12" s="394"/>
      <c r="G12" s="394"/>
      <c r="H12" s="394"/>
      <c r="I12" s="394"/>
      <c r="J12" s="395"/>
      <c r="K12" s="294"/>
    </row>
    <row r="13" spans="1:245" ht="21" customHeight="1" x14ac:dyDescent="0.2">
      <c r="A13" s="369" t="s">
        <v>251</v>
      </c>
      <c r="B13" s="369"/>
      <c r="C13" s="369"/>
      <c r="D13" s="369"/>
      <c r="E13" s="369"/>
      <c r="F13" s="375" t="s">
        <v>252</v>
      </c>
      <c r="G13" s="375"/>
      <c r="H13" s="375"/>
      <c r="I13" s="375"/>
      <c r="J13" s="375"/>
      <c r="K13" s="375"/>
    </row>
    <row r="14" spans="1:245" ht="33.75" customHeight="1" x14ac:dyDescent="0.2">
      <c r="A14" s="375" t="s">
        <v>274</v>
      </c>
      <c r="B14" s="375"/>
      <c r="C14" s="375"/>
      <c r="D14" s="375"/>
      <c r="E14" s="208"/>
      <c r="F14" s="375" t="s">
        <v>253</v>
      </c>
      <c r="G14" s="375"/>
      <c r="H14" s="375"/>
      <c r="I14" s="375"/>
      <c r="J14" s="375"/>
      <c r="K14" s="375"/>
    </row>
    <row r="15" spans="1:245" ht="44.25" customHeight="1" x14ac:dyDescent="0.2">
      <c r="A15" s="398" t="s">
        <v>254</v>
      </c>
      <c r="B15" s="398"/>
      <c r="C15" s="398"/>
      <c r="D15" s="398"/>
      <c r="E15" s="398"/>
      <c r="F15" s="398"/>
      <c r="G15" s="213"/>
      <c r="I15" s="209"/>
      <c r="J15" s="209"/>
      <c r="K15" s="209"/>
    </row>
    <row r="16" spans="1:245" ht="66" customHeight="1" x14ac:dyDescent="0.2">
      <c r="A16" s="399" t="s">
        <v>353</v>
      </c>
      <c r="B16" s="399"/>
      <c r="C16" s="399"/>
      <c r="D16" s="399"/>
      <c r="E16" s="399"/>
      <c r="F16" s="399"/>
      <c r="G16" s="399"/>
      <c r="H16" s="399"/>
      <c r="I16" s="399"/>
      <c r="J16" s="399"/>
      <c r="K16" s="271"/>
    </row>
    <row r="17" spans="1:254" ht="16.5" customHeight="1" x14ac:dyDescent="0.2">
      <c r="A17" s="393" t="s">
        <v>354</v>
      </c>
      <c r="B17" s="394"/>
      <c r="C17" s="394"/>
      <c r="D17" s="394"/>
      <c r="E17" s="394"/>
      <c r="F17" s="394"/>
      <c r="G17" s="394"/>
      <c r="H17" s="394"/>
      <c r="I17" s="394"/>
      <c r="J17" s="395"/>
      <c r="K17" s="294"/>
    </row>
    <row r="18" spans="1:254" ht="87.75" customHeight="1" x14ac:dyDescent="0.2">
      <c r="A18" s="399" t="s">
        <v>355</v>
      </c>
      <c r="B18" s="399"/>
      <c r="C18" s="399"/>
      <c r="D18" s="399"/>
      <c r="E18" s="399"/>
      <c r="F18" s="399"/>
      <c r="G18" s="399"/>
      <c r="H18" s="399"/>
      <c r="I18" s="399"/>
      <c r="J18" s="399"/>
      <c r="K18" s="271"/>
    </row>
    <row r="19" spans="1:254" ht="16.5" customHeight="1" x14ac:dyDescent="0.2">
      <c r="A19" s="393" t="s">
        <v>356</v>
      </c>
      <c r="B19" s="394"/>
      <c r="C19" s="394"/>
      <c r="D19" s="394"/>
      <c r="E19" s="394"/>
      <c r="F19" s="394"/>
      <c r="G19" s="394"/>
      <c r="H19" s="394"/>
      <c r="I19" s="394"/>
      <c r="J19" s="395"/>
      <c r="K19" s="294"/>
    </row>
    <row r="20" spans="1:254" ht="60" customHeight="1" x14ac:dyDescent="0.2">
      <c r="A20" s="399" t="s">
        <v>357</v>
      </c>
      <c r="B20" s="399"/>
      <c r="C20" s="399"/>
      <c r="D20" s="399"/>
      <c r="E20" s="399"/>
      <c r="F20" s="399"/>
      <c r="G20" s="399"/>
      <c r="H20" s="399"/>
      <c r="I20" s="399"/>
      <c r="J20" s="399"/>
      <c r="K20" s="271"/>
    </row>
    <row r="21" spans="1:254" ht="16.5" customHeight="1" x14ac:dyDescent="0.2">
      <c r="A21" s="393" t="s">
        <v>358</v>
      </c>
      <c r="B21" s="394"/>
      <c r="C21" s="394"/>
      <c r="D21" s="394"/>
      <c r="E21" s="394"/>
      <c r="F21" s="394"/>
      <c r="G21" s="394"/>
      <c r="H21" s="394"/>
      <c r="I21" s="394"/>
      <c r="J21" s="395"/>
      <c r="K21" s="294"/>
    </row>
    <row r="22" spans="1:254" ht="66" customHeight="1" x14ac:dyDescent="0.2">
      <c r="A22" s="399" t="s">
        <v>272</v>
      </c>
      <c r="B22" s="399"/>
      <c r="C22" s="399"/>
      <c r="D22" s="399"/>
      <c r="E22" s="399"/>
      <c r="F22" s="399"/>
      <c r="G22" s="399"/>
      <c r="H22" s="399"/>
      <c r="I22" s="399"/>
      <c r="J22" s="399"/>
      <c r="K22" s="271"/>
    </row>
    <row r="23" spans="1:254" ht="4.5" customHeight="1" x14ac:dyDescent="0.2">
      <c r="A23" s="372"/>
      <c r="B23" s="372"/>
      <c r="C23" s="372"/>
      <c r="D23" s="372"/>
      <c r="E23" s="372"/>
      <c r="F23" s="372"/>
      <c r="G23" s="210"/>
      <c r="H23" s="399"/>
      <c r="I23" s="399"/>
      <c r="J23" s="399"/>
      <c r="K23" s="399"/>
    </row>
    <row r="24" spans="1:254" s="215" customFormat="1" ht="45" x14ac:dyDescent="0.2">
      <c r="A24" s="241" t="s">
        <v>275</v>
      </c>
      <c r="B24" s="214" t="s">
        <v>70</v>
      </c>
      <c r="C24" s="108" t="s">
        <v>133</v>
      </c>
      <c r="D24" s="109" t="s">
        <v>82</v>
      </c>
      <c r="E24" s="109" t="s">
        <v>255</v>
      </c>
      <c r="F24" s="109" t="s">
        <v>256</v>
      </c>
      <c r="G24" s="109" t="s">
        <v>257</v>
      </c>
      <c r="H24" s="109" t="s">
        <v>129</v>
      </c>
      <c r="I24" s="109" t="s">
        <v>130</v>
      </c>
      <c r="J24" s="109" t="s">
        <v>258</v>
      </c>
      <c r="K24" s="297" t="s">
        <v>360</v>
      </c>
    </row>
    <row r="25" spans="1:254" s="220" customFormat="1" ht="29.25" customHeight="1" x14ac:dyDescent="0.2">
      <c r="A25" s="396">
        <v>1</v>
      </c>
      <c r="B25" s="216">
        <v>1</v>
      </c>
      <c r="C25" s="140" t="s">
        <v>304</v>
      </c>
      <c r="D25" s="140" t="s">
        <v>85</v>
      </c>
      <c r="E25" s="318">
        <v>2</v>
      </c>
      <c r="F25" s="218">
        <f>E25*2</f>
        <v>4</v>
      </c>
      <c r="G25" s="219">
        <f ca="1">'1-DD'!C131</f>
        <v>7515.6509975338686</v>
      </c>
      <c r="H25" s="293">
        <f ca="1">G25*2</f>
        <v>15031.301995067737</v>
      </c>
      <c r="I25" s="293">
        <f ca="1">H25*E25-0.01</f>
        <v>30062.593990135476</v>
      </c>
      <c r="J25" s="293">
        <f ca="1">I25*12</f>
        <v>360751.12788162573</v>
      </c>
      <c r="K25" s="298">
        <f>'1-DD'!D33*E25</f>
        <v>0</v>
      </c>
      <c r="L25" s="314"/>
    </row>
    <row r="26" spans="1:254" s="220" customFormat="1" ht="25.5" x14ac:dyDescent="0.2">
      <c r="A26" s="397"/>
      <c r="B26" s="216">
        <v>4</v>
      </c>
      <c r="C26" s="140" t="s">
        <v>307</v>
      </c>
      <c r="D26" s="140" t="s">
        <v>84</v>
      </c>
      <c r="E26" s="318">
        <v>2</v>
      </c>
      <c r="F26" s="218">
        <f t="shared" ref="F26" si="0">E26*2</f>
        <v>4</v>
      </c>
      <c r="G26" s="219">
        <f ca="1">'4-AN'!C131</f>
        <v>8254.7283398611526</v>
      </c>
      <c r="H26" s="293">
        <f t="shared" ref="H26" ca="1" si="1">G26*2</f>
        <v>16509.456679722305</v>
      </c>
      <c r="I26" s="293">
        <f t="shared" ref="I26" ca="1" si="2">H26*E26</f>
        <v>33018.91335944461</v>
      </c>
      <c r="J26" s="293">
        <f t="shared" ref="J26" ca="1" si="3">I26*12</f>
        <v>396226.96031333529</v>
      </c>
      <c r="K26" s="298">
        <f>'4-AN'!D33*E26</f>
        <v>2515.4197121418183</v>
      </c>
      <c r="L26" s="314"/>
    </row>
    <row r="27" spans="1:254" s="215" customFormat="1" ht="15.75" customHeight="1" x14ac:dyDescent="0.2">
      <c r="A27" s="383" t="s">
        <v>259</v>
      </c>
      <c r="B27" s="384"/>
      <c r="C27" s="384"/>
      <c r="D27" s="384"/>
      <c r="E27" s="221">
        <f>SUM(E25:E26)</f>
        <v>4</v>
      </c>
      <c r="F27" s="222">
        <f>SUM(F25:F26)</f>
        <v>8</v>
      </c>
      <c r="G27" s="223"/>
      <c r="H27" s="224"/>
      <c r="I27" s="224">
        <f ca="1">SUM(I25:I26)</f>
        <v>63081.50734958009</v>
      </c>
      <c r="J27" s="224">
        <f ca="1">SUM(J25:J26)</f>
        <v>756978.08819496096</v>
      </c>
      <c r="K27" s="299">
        <f>SUM(K25:K26)</f>
        <v>2515.4197121418183</v>
      </c>
    </row>
    <row r="28" spans="1:254" s="215" customFormat="1" ht="15" customHeight="1" x14ac:dyDescent="0.2">
      <c r="A28" s="307"/>
      <c r="B28" s="308"/>
      <c r="C28" s="308"/>
      <c r="D28" s="308"/>
      <c r="E28" s="308"/>
      <c r="F28" s="308"/>
      <c r="G28" s="308"/>
      <c r="H28" s="308"/>
      <c r="I28" s="308"/>
      <c r="J28" s="309"/>
      <c r="K28" s="310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  <c r="DM28" s="225"/>
      <c r="DN28" s="225"/>
      <c r="DO28" s="225"/>
      <c r="DP28" s="225"/>
      <c r="DQ28" s="225"/>
      <c r="DR28" s="225"/>
      <c r="DS28" s="225"/>
      <c r="DT28" s="225"/>
      <c r="DU28" s="225"/>
      <c r="DV28" s="225"/>
      <c r="DW28" s="225"/>
      <c r="DX28" s="225"/>
      <c r="DY28" s="225"/>
      <c r="DZ28" s="225"/>
      <c r="EA28" s="225"/>
      <c r="EB28" s="225"/>
      <c r="EC28" s="225"/>
      <c r="ED28" s="225"/>
      <c r="EE28" s="225"/>
      <c r="EF28" s="225"/>
      <c r="EG28" s="225"/>
      <c r="EH28" s="225"/>
      <c r="EI28" s="225"/>
      <c r="EJ28" s="225"/>
      <c r="EK28" s="225"/>
      <c r="EL28" s="225"/>
      <c r="EM28" s="225"/>
      <c r="EN28" s="225"/>
      <c r="EO28" s="225"/>
      <c r="EP28" s="225"/>
      <c r="EQ28" s="225"/>
      <c r="ER28" s="225"/>
      <c r="ES28" s="225"/>
      <c r="ET28" s="225"/>
      <c r="EU28" s="225"/>
      <c r="EV28" s="225"/>
      <c r="EW28" s="225"/>
      <c r="EX28" s="225"/>
      <c r="EY28" s="225"/>
      <c r="EZ28" s="225"/>
      <c r="FA28" s="225"/>
      <c r="FB28" s="225"/>
      <c r="FC28" s="225"/>
      <c r="FD28" s="225"/>
      <c r="FE28" s="225"/>
      <c r="FF28" s="225"/>
      <c r="FG28" s="225"/>
      <c r="FH28" s="225"/>
      <c r="FI28" s="225"/>
      <c r="FJ28" s="225"/>
      <c r="FK28" s="225"/>
      <c r="FL28" s="225"/>
      <c r="FM28" s="225"/>
      <c r="FN28" s="225"/>
      <c r="FO28" s="225"/>
      <c r="FP28" s="225"/>
      <c r="FQ28" s="225"/>
      <c r="FR28" s="225"/>
      <c r="FS28" s="225"/>
      <c r="FT28" s="225"/>
      <c r="FU28" s="225"/>
      <c r="FV28" s="225"/>
      <c r="FW28" s="225"/>
      <c r="FX28" s="225"/>
      <c r="FY28" s="225"/>
      <c r="FZ28" s="225"/>
      <c r="GA28" s="225"/>
      <c r="GB28" s="225"/>
      <c r="GC28" s="225"/>
      <c r="GD28" s="225"/>
      <c r="GE28" s="225"/>
      <c r="GF28" s="225"/>
      <c r="GG28" s="225"/>
      <c r="GH28" s="225"/>
      <c r="GI28" s="225"/>
      <c r="GJ28" s="225"/>
      <c r="GK28" s="225"/>
      <c r="GL28" s="225"/>
      <c r="GM28" s="225"/>
      <c r="GN28" s="225"/>
      <c r="GO28" s="225"/>
      <c r="GP28" s="225"/>
      <c r="GQ28" s="225"/>
      <c r="GR28" s="225"/>
      <c r="GS28" s="225"/>
      <c r="GT28" s="225"/>
      <c r="GU28" s="225"/>
      <c r="GV28" s="225"/>
      <c r="GW28" s="225"/>
      <c r="GX28" s="225"/>
      <c r="GY28" s="225"/>
      <c r="GZ28" s="225"/>
      <c r="HA28" s="225"/>
      <c r="HB28" s="225"/>
      <c r="HC28" s="225"/>
      <c r="HD28" s="225"/>
      <c r="HE28" s="225"/>
      <c r="HF28" s="225"/>
      <c r="HG28" s="225"/>
      <c r="HH28" s="225"/>
      <c r="HI28" s="225"/>
      <c r="HJ28" s="225"/>
      <c r="HK28" s="225"/>
      <c r="HL28" s="225"/>
      <c r="HM28" s="225"/>
      <c r="HN28" s="225"/>
      <c r="HO28" s="225"/>
      <c r="HP28" s="225"/>
      <c r="HQ28" s="225"/>
      <c r="HR28" s="225"/>
      <c r="HS28" s="225"/>
      <c r="HT28" s="225"/>
      <c r="HU28" s="225"/>
      <c r="HV28" s="225"/>
      <c r="HW28" s="225"/>
      <c r="HX28" s="225"/>
      <c r="HY28" s="225"/>
      <c r="HZ28" s="225"/>
      <c r="IA28" s="225"/>
      <c r="IB28" s="225"/>
      <c r="IC28" s="225"/>
      <c r="ID28" s="225"/>
      <c r="IE28" s="225"/>
      <c r="IF28" s="225"/>
      <c r="IG28" s="225"/>
      <c r="IH28" s="225"/>
      <c r="II28" s="225"/>
      <c r="IJ28" s="225"/>
      <c r="IK28" s="225"/>
      <c r="IL28" s="225"/>
      <c r="IM28" s="225"/>
      <c r="IN28" s="225"/>
      <c r="IO28" s="225"/>
      <c r="IP28" s="225"/>
      <c r="IQ28" s="225"/>
      <c r="IR28" s="225"/>
      <c r="IS28" s="225"/>
      <c r="IT28" s="225"/>
    </row>
    <row r="29" spans="1:254" s="215" customFormat="1" ht="18" customHeight="1" x14ac:dyDescent="0.2">
      <c r="A29" s="387" t="s">
        <v>260</v>
      </c>
      <c r="B29" s="387"/>
      <c r="C29" s="387"/>
      <c r="D29" s="387"/>
      <c r="E29" s="387"/>
      <c r="F29" s="387"/>
      <c r="G29" s="387"/>
      <c r="H29" s="387"/>
      <c r="I29" s="387"/>
      <c r="J29" s="226">
        <f ca="1">I27</f>
        <v>63081.50734958009</v>
      </c>
      <c r="K29" s="301">
        <v>52775.25</v>
      </c>
      <c r="L29" s="332">
        <v>2021</v>
      </c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  <c r="DM29" s="225"/>
      <c r="DN29" s="225"/>
      <c r="DO29" s="225"/>
      <c r="DP29" s="225"/>
      <c r="DQ29" s="225"/>
      <c r="DR29" s="225"/>
      <c r="DS29" s="225"/>
      <c r="DT29" s="225"/>
      <c r="DU29" s="225"/>
      <c r="DV29" s="225"/>
      <c r="DW29" s="225"/>
      <c r="DX29" s="225"/>
      <c r="DY29" s="225"/>
      <c r="DZ29" s="225"/>
      <c r="EA29" s="225"/>
      <c r="EB29" s="225"/>
      <c r="EC29" s="225"/>
      <c r="ED29" s="225"/>
      <c r="EE29" s="225"/>
      <c r="EF29" s="225"/>
      <c r="EG29" s="225"/>
      <c r="EH29" s="225"/>
      <c r="EI29" s="225"/>
      <c r="EJ29" s="225"/>
      <c r="EK29" s="225"/>
      <c r="EL29" s="225"/>
      <c r="EM29" s="225"/>
      <c r="EN29" s="225"/>
      <c r="EO29" s="225"/>
      <c r="EP29" s="225"/>
      <c r="EQ29" s="225"/>
      <c r="ER29" s="225"/>
      <c r="ES29" s="225"/>
      <c r="ET29" s="225"/>
      <c r="EU29" s="225"/>
      <c r="EV29" s="225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5"/>
      <c r="FH29" s="225"/>
      <c r="FI29" s="225"/>
      <c r="FJ29" s="225"/>
      <c r="FK29" s="225"/>
      <c r="FL29" s="225"/>
      <c r="FM29" s="225"/>
      <c r="FN29" s="225"/>
      <c r="FO29" s="225"/>
      <c r="FP29" s="225"/>
      <c r="FQ29" s="225"/>
      <c r="FR29" s="225"/>
      <c r="FS29" s="225"/>
      <c r="FT29" s="225"/>
      <c r="FU29" s="225"/>
      <c r="FV29" s="225"/>
      <c r="FW29" s="225"/>
      <c r="FX29" s="225"/>
      <c r="FY29" s="225"/>
      <c r="FZ29" s="225"/>
      <c r="GA29" s="225"/>
      <c r="GB29" s="225"/>
      <c r="GC29" s="225"/>
      <c r="GD29" s="225"/>
      <c r="GE29" s="225"/>
      <c r="GF29" s="225"/>
      <c r="GG29" s="225"/>
      <c r="GH29" s="225"/>
      <c r="GI29" s="225"/>
      <c r="GJ29" s="225"/>
      <c r="GK29" s="225"/>
      <c r="GL29" s="225"/>
      <c r="GM29" s="225"/>
      <c r="GN29" s="225"/>
      <c r="GO29" s="225"/>
      <c r="GP29" s="225"/>
      <c r="GQ29" s="225"/>
      <c r="GR29" s="225"/>
      <c r="GS29" s="225"/>
      <c r="GT29" s="225"/>
      <c r="GU29" s="225"/>
      <c r="GV29" s="225"/>
      <c r="GW29" s="225"/>
      <c r="GX29" s="225"/>
      <c r="GY29" s="225"/>
      <c r="GZ29" s="225"/>
      <c r="HA29" s="225"/>
      <c r="HB29" s="225"/>
      <c r="HC29" s="225"/>
      <c r="HD29" s="225"/>
      <c r="HE29" s="225"/>
      <c r="HF29" s="225"/>
      <c r="HG29" s="225"/>
      <c r="HH29" s="225"/>
      <c r="HI29" s="225"/>
      <c r="HJ29" s="225"/>
      <c r="HK29" s="225"/>
      <c r="HL29" s="225"/>
      <c r="HM29" s="225"/>
      <c r="HN29" s="225"/>
      <c r="HO29" s="225"/>
      <c r="HP29" s="225"/>
      <c r="HQ29" s="225"/>
      <c r="HR29" s="225"/>
      <c r="HS29" s="225"/>
      <c r="HT29" s="225"/>
      <c r="HU29" s="225"/>
      <c r="HV29" s="225"/>
      <c r="HW29" s="225"/>
      <c r="HX29" s="225"/>
      <c r="HY29" s="225"/>
      <c r="HZ29" s="225"/>
      <c r="IA29" s="225"/>
      <c r="IB29" s="225"/>
      <c r="IC29" s="225"/>
      <c r="ID29" s="225"/>
      <c r="IE29" s="225"/>
      <c r="IF29" s="225"/>
      <c r="IG29" s="225"/>
      <c r="IH29" s="225"/>
      <c r="II29" s="225"/>
      <c r="IJ29" s="225"/>
      <c r="IK29" s="225"/>
      <c r="IL29" s="225"/>
      <c r="IM29" s="225"/>
      <c r="IN29" s="225"/>
      <c r="IO29" s="225"/>
      <c r="IP29" s="225"/>
      <c r="IQ29" s="225"/>
      <c r="IR29" s="225"/>
      <c r="IS29" s="225"/>
      <c r="IT29" s="225"/>
    </row>
    <row r="30" spans="1:254" s="215" customFormat="1" ht="15" customHeight="1" x14ac:dyDescent="0.2">
      <c r="A30" s="388" t="s">
        <v>362</v>
      </c>
      <c r="B30" s="389"/>
      <c r="C30" s="389"/>
      <c r="D30" s="389"/>
      <c r="E30" s="389"/>
      <c r="F30" s="389"/>
      <c r="G30" s="389"/>
      <c r="H30" s="389"/>
      <c r="I30" s="389"/>
      <c r="J30" s="389"/>
      <c r="K30" s="302"/>
    </row>
    <row r="31" spans="1:254" s="215" customFormat="1" ht="5.25" customHeight="1" x14ac:dyDescent="0.2">
      <c r="A31" s="385"/>
      <c r="B31" s="386"/>
      <c r="C31" s="386"/>
      <c r="D31" s="386"/>
      <c r="E31" s="386"/>
      <c r="F31" s="386"/>
      <c r="G31" s="386"/>
      <c r="H31" s="386"/>
      <c r="I31" s="386"/>
      <c r="J31" s="390"/>
      <c r="K31" s="300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</row>
    <row r="32" spans="1:254" s="215" customFormat="1" ht="19.5" customHeight="1" x14ac:dyDescent="0.2">
      <c r="A32" s="387" t="s">
        <v>261</v>
      </c>
      <c r="B32" s="387"/>
      <c r="C32" s="387"/>
      <c r="D32" s="387"/>
      <c r="E32" s="387"/>
      <c r="F32" s="387"/>
      <c r="G32" s="387"/>
      <c r="H32" s="387"/>
      <c r="I32" s="387"/>
      <c r="J32" s="227">
        <v>12</v>
      </c>
      <c r="K32" s="303"/>
    </row>
    <row r="33" spans="1:254" s="215" customFormat="1" ht="5.25" customHeight="1" x14ac:dyDescent="0.2">
      <c r="A33" s="385"/>
      <c r="B33" s="386"/>
      <c r="C33" s="386"/>
      <c r="D33" s="386"/>
      <c r="E33" s="386"/>
      <c r="F33" s="386"/>
      <c r="G33" s="386"/>
      <c r="H33" s="386"/>
      <c r="I33" s="386"/>
      <c r="J33" s="390"/>
      <c r="K33" s="304"/>
      <c r="L33" s="225"/>
      <c r="M33" s="225"/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  <c r="Z33" s="225"/>
      <c r="AA33" s="225"/>
      <c r="AB33" s="225"/>
      <c r="AC33" s="225"/>
      <c r="AD33" s="225"/>
      <c r="AE33" s="225"/>
      <c r="AF33" s="225"/>
      <c r="AG33" s="225"/>
      <c r="AH33" s="225"/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</row>
    <row r="34" spans="1:254" s="215" customFormat="1" ht="15" customHeight="1" x14ac:dyDescent="0.2">
      <c r="A34" s="391" t="s">
        <v>262</v>
      </c>
      <c r="B34" s="391"/>
      <c r="C34" s="391"/>
      <c r="D34" s="391"/>
      <c r="E34" s="391"/>
      <c r="F34" s="391"/>
      <c r="G34" s="391"/>
      <c r="H34" s="391"/>
      <c r="I34" s="391"/>
      <c r="J34" s="228">
        <f ca="1">J27</f>
        <v>756978.08819496096</v>
      </c>
      <c r="K34" s="305"/>
    </row>
    <row r="35" spans="1:254" s="215" customFormat="1" ht="15" customHeight="1" x14ac:dyDescent="0.2">
      <c r="A35" s="388" t="s">
        <v>363</v>
      </c>
      <c r="B35" s="389"/>
      <c r="C35" s="389"/>
      <c r="D35" s="389"/>
      <c r="E35" s="389"/>
      <c r="F35" s="389"/>
      <c r="G35" s="389"/>
      <c r="H35" s="389"/>
      <c r="I35" s="389"/>
      <c r="J35" s="392"/>
      <c r="K35" s="306"/>
    </row>
    <row r="36" spans="1:254" s="215" customFormat="1" ht="9" customHeight="1" x14ac:dyDescent="0.2">
      <c r="A36" s="290"/>
      <c r="B36" s="291"/>
      <c r="C36" s="291"/>
      <c r="D36" s="291"/>
      <c r="E36" s="291"/>
      <c r="F36" s="291"/>
      <c r="G36" s="291"/>
      <c r="H36" s="291"/>
      <c r="I36" s="291"/>
      <c r="J36" s="292"/>
      <c r="K36" s="315"/>
    </row>
    <row r="37" spans="1:254" ht="18" customHeight="1" x14ac:dyDescent="0.2">
      <c r="A37" s="393" t="s">
        <v>193</v>
      </c>
      <c r="B37" s="394"/>
      <c r="C37" s="394"/>
      <c r="D37" s="394"/>
      <c r="E37" s="394"/>
      <c r="F37" s="394"/>
      <c r="G37" s="394"/>
      <c r="H37" s="394"/>
      <c r="I37" s="394"/>
      <c r="J37" s="395"/>
      <c r="K37" s="294">
        <f ca="1">I27*11%</f>
        <v>6938.9658084538096</v>
      </c>
    </row>
    <row r="38" spans="1:254" ht="17.100000000000001" customHeight="1" x14ac:dyDescent="0.2">
      <c r="A38" s="375" t="s">
        <v>263</v>
      </c>
      <c r="B38" s="375"/>
      <c r="C38" s="375"/>
      <c r="D38" s="375"/>
      <c r="E38" s="375"/>
      <c r="F38" s="375"/>
      <c r="G38" s="375"/>
      <c r="H38" s="375"/>
      <c r="K38" s="22">
        <f ca="1">I27*5%</f>
        <v>3154.0753674790049</v>
      </c>
    </row>
    <row r="39" spans="1:254" ht="17.100000000000001" customHeight="1" x14ac:dyDescent="0.2">
      <c r="A39" s="375" t="s">
        <v>264</v>
      </c>
      <c r="B39" s="375"/>
      <c r="C39" s="375"/>
      <c r="D39" s="375"/>
      <c r="E39" s="375"/>
      <c r="F39" s="375"/>
      <c r="G39" s="375"/>
      <c r="H39" s="375"/>
      <c r="K39" s="22">
        <f ca="1">I27*3.65%</f>
        <v>2302.4750182596731</v>
      </c>
    </row>
    <row r="40" spans="1:254" ht="17.100000000000001" customHeight="1" x14ac:dyDescent="0.25">
      <c r="A40" s="375" t="s">
        <v>265</v>
      </c>
      <c r="B40" s="375"/>
      <c r="C40" s="375"/>
      <c r="D40" s="375"/>
      <c r="E40" s="229"/>
      <c r="F40" s="229"/>
      <c r="G40" s="229"/>
      <c r="H40" s="376" t="s">
        <v>266</v>
      </c>
      <c r="I40" s="376"/>
      <c r="J40" s="376"/>
      <c r="K40" s="272">
        <f ca="1">I27*5.8%</f>
        <v>3658.727426275645</v>
      </c>
    </row>
    <row r="41" spans="1:254" ht="17.100000000000001" customHeight="1" x14ac:dyDescent="0.25">
      <c r="A41" s="375" t="s">
        <v>194</v>
      </c>
      <c r="B41" s="375"/>
      <c r="C41" s="375"/>
      <c r="D41" s="375"/>
      <c r="E41" s="229"/>
      <c r="F41" s="229"/>
      <c r="G41" s="229"/>
      <c r="H41" s="376" t="s">
        <v>267</v>
      </c>
      <c r="I41" s="376"/>
      <c r="J41" s="376"/>
      <c r="K41" s="319">
        <f>K27</f>
        <v>2515.4197121418183</v>
      </c>
    </row>
    <row r="42" spans="1:254" ht="17.100000000000001" customHeight="1" x14ac:dyDescent="0.25">
      <c r="A42" s="375" t="s">
        <v>268</v>
      </c>
      <c r="B42" s="375"/>
      <c r="C42" s="375"/>
      <c r="D42" s="375"/>
      <c r="E42" s="229"/>
      <c r="F42" s="229"/>
      <c r="G42" s="229"/>
      <c r="H42" s="376" t="s">
        <v>269</v>
      </c>
      <c r="I42" s="376"/>
      <c r="J42" s="376"/>
      <c r="K42" s="319">
        <f ca="1">I27-K37-K38-K39-K40-K41</f>
        <v>44511.844016970135</v>
      </c>
    </row>
    <row r="43" spans="1:254" ht="17.100000000000001" customHeight="1" thickBot="1" x14ac:dyDescent="0.3">
      <c r="A43" s="375" t="s">
        <v>195</v>
      </c>
      <c r="B43" s="375"/>
      <c r="C43" s="375"/>
      <c r="D43" s="375"/>
      <c r="E43" s="229"/>
      <c r="F43" s="229"/>
      <c r="G43" s="229"/>
      <c r="H43" s="376" t="s">
        <v>270</v>
      </c>
      <c r="I43" s="376"/>
      <c r="J43" s="376"/>
      <c r="K43" s="272"/>
    </row>
    <row r="44" spans="1:254" ht="33.75" customHeight="1" thickBot="1" x14ac:dyDescent="0.25">
      <c r="A44" s="405" t="s">
        <v>271</v>
      </c>
      <c r="B44" s="406"/>
      <c r="C44" s="406"/>
      <c r="D44" s="406"/>
      <c r="E44" s="406"/>
      <c r="F44" s="406"/>
      <c r="G44" s="406"/>
      <c r="H44" s="406"/>
      <c r="I44" s="406"/>
      <c r="J44" s="407"/>
      <c r="K44" s="294"/>
    </row>
    <row r="45" spans="1:254" ht="92.25" customHeight="1" x14ac:dyDescent="0.2">
      <c r="A45" s="408" t="s">
        <v>273</v>
      </c>
      <c r="B45" s="409"/>
      <c r="C45" s="409"/>
      <c r="D45" s="409"/>
      <c r="E45" s="409"/>
      <c r="F45" s="409"/>
      <c r="G45" s="409"/>
      <c r="H45" s="409"/>
      <c r="I45" s="409"/>
      <c r="J45" s="410"/>
      <c r="K45" s="295"/>
    </row>
    <row r="46" spans="1:254" ht="26.25" customHeight="1" x14ac:dyDescent="0.2">
      <c r="A46" s="368" t="s">
        <v>316</v>
      </c>
      <c r="B46" s="369"/>
      <c r="C46" s="369"/>
      <c r="D46" s="369"/>
      <c r="E46" s="369"/>
      <c r="F46" s="369"/>
      <c r="G46" s="369"/>
      <c r="H46" s="369"/>
      <c r="I46" s="369"/>
      <c r="J46" s="370"/>
      <c r="K46" s="208"/>
    </row>
    <row r="47" spans="1:254" ht="25.5" customHeight="1" x14ac:dyDescent="0.2">
      <c r="A47" s="368" t="s">
        <v>359</v>
      </c>
      <c r="B47" s="369"/>
      <c r="C47" s="369"/>
      <c r="D47" s="369"/>
      <c r="E47" s="369"/>
      <c r="F47" s="369"/>
      <c r="G47" s="369"/>
      <c r="H47" s="369"/>
      <c r="I47" s="369"/>
      <c r="J47" s="370"/>
      <c r="K47" s="208"/>
    </row>
    <row r="48" spans="1:254" ht="39" customHeight="1" x14ac:dyDescent="0.2">
      <c r="A48" s="368" t="s">
        <v>318</v>
      </c>
      <c r="B48" s="369"/>
      <c r="C48" s="369"/>
      <c r="D48" s="369"/>
      <c r="E48" s="369"/>
      <c r="F48" s="369"/>
      <c r="G48" s="369"/>
      <c r="H48" s="369"/>
      <c r="I48" s="369"/>
      <c r="J48" s="370"/>
      <c r="K48" s="208"/>
    </row>
    <row r="49" spans="1:11" ht="27.75" customHeight="1" x14ac:dyDescent="0.2">
      <c r="A49" s="368" t="s">
        <v>319</v>
      </c>
      <c r="B49" s="369"/>
      <c r="C49" s="369"/>
      <c r="D49" s="369"/>
      <c r="E49" s="369"/>
      <c r="F49" s="369"/>
      <c r="G49" s="369"/>
      <c r="H49" s="369"/>
      <c r="I49" s="369"/>
      <c r="J49" s="370"/>
      <c r="K49" s="208"/>
    </row>
    <row r="50" spans="1:11" ht="15.75" x14ac:dyDescent="0.2">
      <c r="A50" s="371"/>
      <c r="B50" s="372"/>
      <c r="C50" s="372"/>
      <c r="D50" s="372"/>
      <c r="E50" s="372"/>
      <c r="F50" s="372"/>
      <c r="G50" s="210"/>
      <c r="I50" s="209"/>
      <c r="J50" s="231"/>
      <c r="K50" s="209"/>
    </row>
    <row r="51" spans="1:11" ht="15.75" x14ac:dyDescent="0.2">
      <c r="A51" s="373"/>
      <c r="B51" s="374"/>
      <c r="C51" s="374"/>
      <c r="D51" s="374"/>
      <c r="E51" s="374"/>
      <c r="F51" s="374"/>
      <c r="G51" s="374"/>
      <c r="H51" s="374"/>
      <c r="I51" s="209"/>
      <c r="J51" s="231"/>
      <c r="K51" s="209"/>
    </row>
    <row r="52" spans="1:11" ht="15.75" x14ac:dyDescent="0.2">
      <c r="A52" s="373"/>
      <c r="B52" s="374"/>
      <c r="C52" s="374"/>
      <c r="D52" s="374"/>
      <c r="E52" s="374"/>
      <c r="F52" s="374"/>
      <c r="G52" s="374"/>
      <c r="H52" s="374"/>
      <c r="I52" s="209"/>
      <c r="J52" s="231"/>
      <c r="K52" s="209"/>
    </row>
    <row r="53" spans="1:11" ht="15.75" x14ac:dyDescent="0.2">
      <c r="A53" s="373"/>
      <c r="B53" s="374"/>
      <c r="C53" s="374"/>
      <c r="D53" s="374"/>
      <c r="E53" s="374"/>
      <c r="F53" s="374"/>
      <c r="G53" s="374"/>
      <c r="H53" s="374"/>
      <c r="I53" s="209"/>
      <c r="J53" s="231"/>
      <c r="K53" s="209"/>
    </row>
    <row r="54" spans="1:11" ht="15.75" x14ac:dyDescent="0.2">
      <c r="A54" s="373"/>
      <c r="B54" s="374"/>
      <c r="C54" s="374"/>
      <c r="D54" s="374"/>
      <c r="E54" s="374"/>
      <c r="F54" s="374"/>
      <c r="G54" s="374"/>
      <c r="H54" s="374"/>
      <c r="I54" s="209"/>
      <c r="J54" s="231"/>
      <c r="K54" s="209"/>
    </row>
    <row r="55" spans="1:11" ht="15.75" x14ac:dyDescent="0.2">
      <c r="A55" s="232"/>
      <c r="B55" s="233"/>
      <c r="C55" s="233"/>
      <c r="D55" s="233"/>
      <c r="E55" s="233"/>
      <c r="F55" s="233"/>
      <c r="G55" s="233"/>
      <c r="H55" s="234"/>
      <c r="I55" s="233"/>
      <c r="J55" s="235"/>
      <c r="K55" s="209"/>
    </row>
    <row r="56" spans="1:11" ht="15.75" x14ac:dyDescent="0.2">
      <c r="A56" s="209"/>
      <c r="B56" s="209"/>
      <c r="C56" s="209"/>
      <c r="D56" s="209"/>
      <c r="E56" s="209"/>
      <c r="F56" s="209"/>
      <c r="G56" s="209"/>
      <c r="H56" s="209"/>
      <c r="I56" s="209"/>
      <c r="J56" s="209"/>
      <c r="K56" s="209"/>
    </row>
  </sheetData>
  <mergeCells count="50">
    <mergeCell ref="A10:J10"/>
    <mergeCell ref="C2:J2"/>
    <mergeCell ref="A5:H5"/>
    <mergeCell ref="A6:H6"/>
    <mergeCell ref="A7:H7"/>
    <mergeCell ref="A9:J9"/>
    <mergeCell ref="A20:J20"/>
    <mergeCell ref="A11:H11"/>
    <mergeCell ref="A12:J12"/>
    <mergeCell ref="A13:E13"/>
    <mergeCell ref="F13:K13"/>
    <mergeCell ref="A14:D14"/>
    <mergeCell ref="F14:K14"/>
    <mergeCell ref="A15:F15"/>
    <mergeCell ref="A16:J16"/>
    <mergeCell ref="A17:J17"/>
    <mergeCell ref="A18:J18"/>
    <mergeCell ref="A19:J19"/>
    <mergeCell ref="A34:I34"/>
    <mergeCell ref="A21:J21"/>
    <mergeCell ref="A22:J22"/>
    <mergeCell ref="A23:F23"/>
    <mergeCell ref="H23:K23"/>
    <mergeCell ref="A25:A26"/>
    <mergeCell ref="A27:D27"/>
    <mergeCell ref="A29:I29"/>
    <mergeCell ref="A30:J30"/>
    <mergeCell ref="A31:J31"/>
    <mergeCell ref="A32:I32"/>
    <mergeCell ref="A33:J33"/>
    <mergeCell ref="A35:J35"/>
    <mergeCell ref="A37:J37"/>
    <mergeCell ref="A38:H38"/>
    <mergeCell ref="A39:H39"/>
    <mergeCell ref="A40:D40"/>
    <mergeCell ref="H40:J40"/>
    <mergeCell ref="A41:D41"/>
    <mergeCell ref="H41:J41"/>
    <mergeCell ref="A42:D42"/>
    <mergeCell ref="H42:J42"/>
    <mergeCell ref="A43:D43"/>
    <mergeCell ref="H43:J43"/>
    <mergeCell ref="A50:F50"/>
    <mergeCell ref="A51:H54"/>
    <mergeCell ref="A44:J44"/>
    <mergeCell ref="A45:J45"/>
    <mergeCell ref="A46:J46"/>
    <mergeCell ref="A47:J47"/>
    <mergeCell ref="A48:J48"/>
    <mergeCell ref="A49:J4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3" orientation="portrait" horizontalDpi="360" verticalDpi="360" r:id="rId1"/>
  <rowBreaks count="1" manualBreakCount="1">
    <brk id="43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7"/>
  <sheetViews>
    <sheetView zoomScale="112" zoomScaleNormal="112" workbookViewId="0">
      <selection activeCell="A10" sqref="A10:D10"/>
    </sheetView>
  </sheetViews>
  <sheetFormatPr defaultRowHeight="15" x14ac:dyDescent="0.25"/>
  <cols>
    <col min="1" max="1" width="17" customWidth="1"/>
    <col min="2" max="2" width="16.7109375" customWidth="1"/>
    <col min="3" max="3" width="19.140625" customWidth="1"/>
    <col min="4" max="4" width="17.5703125" customWidth="1"/>
    <col min="5" max="5" width="15.28515625" customWidth="1"/>
    <col min="8" max="8" width="14" customWidth="1"/>
    <col min="13" max="13" width="13.28515625" hidden="1" customWidth="1"/>
  </cols>
  <sheetData>
    <row r="1" spans="1:13" x14ac:dyDescent="0.25">
      <c r="A1" s="413" t="s">
        <v>371</v>
      </c>
      <c r="B1" s="413"/>
      <c r="C1" s="413"/>
      <c r="D1" s="414"/>
    </row>
    <row r="2" spans="1:13" x14ac:dyDescent="0.25">
      <c r="A2" s="415"/>
      <c r="B2" s="415"/>
      <c r="C2" s="415"/>
      <c r="D2" s="416"/>
    </row>
    <row r="3" spans="1:13" ht="30" x14ac:dyDescent="0.25">
      <c r="A3" s="333" t="s">
        <v>367</v>
      </c>
      <c r="B3" s="334" t="s">
        <v>368</v>
      </c>
      <c r="C3" s="334" t="s">
        <v>369</v>
      </c>
      <c r="D3" s="334" t="s">
        <v>370</v>
      </c>
    </row>
    <row r="4" spans="1:13" x14ac:dyDescent="0.25">
      <c r="A4" s="335">
        <v>44927</v>
      </c>
      <c r="B4" s="336">
        <v>175470.58</v>
      </c>
      <c r="C4" s="336">
        <v>185160.04</v>
      </c>
      <c r="D4" s="345">
        <v>9798.66</v>
      </c>
      <c r="E4" s="337"/>
    </row>
    <row r="5" spans="1:13" x14ac:dyDescent="0.25">
      <c r="A5" s="335">
        <v>44958</v>
      </c>
      <c r="B5" s="336">
        <v>175361.38</v>
      </c>
      <c r="C5" s="343">
        <f ca="1">'Embrapa Sede'!I32</f>
        <v>194023.82715561806</v>
      </c>
      <c r="D5" s="347">
        <f t="shared" ref="D5:D8" ca="1" si="0">C5-B5</f>
        <v>18662.447155618051</v>
      </c>
      <c r="E5" s="344"/>
    </row>
    <row r="6" spans="1:13" x14ac:dyDescent="0.25">
      <c r="A6" s="335">
        <v>44986</v>
      </c>
      <c r="B6" s="336">
        <f>B5</f>
        <v>175361.38</v>
      </c>
      <c r="C6" s="336">
        <f ca="1">C5</f>
        <v>194023.82715561806</v>
      </c>
      <c r="D6" s="346">
        <f t="shared" ca="1" si="0"/>
        <v>18662.447155618051</v>
      </c>
      <c r="E6" s="337"/>
    </row>
    <row r="7" spans="1:13" x14ac:dyDescent="0.25">
      <c r="A7" s="335">
        <v>45017</v>
      </c>
      <c r="B7" s="336">
        <f>B5</f>
        <v>175361.38</v>
      </c>
      <c r="C7" s="336">
        <f ca="1">C5</f>
        <v>194023.82715561806</v>
      </c>
      <c r="D7" s="336">
        <f t="shared" ref="D7" ca="1" si="1">C7-B7</f>
        <v>18662.447155618051</v>
      </c>
      <c r="E7" s="338"/>
    </row>
    <row r="8" spans="1:13" x14ac:dyDescent="0.25">
      <c r="A8" s="335">
        <v>45047</v>
      </c>
      <c r="B8" s="336">
        <f>B6</f>
        <v>175361.38</v>
      </c>
      <c r="C8" s="336">
        <f ca="1">C6</f>
        <v>194023.82715561806</v>
      </c>
      <c r="D8" s="336">
        <f t="shared" ca="1" si="0"/>
        <v>18662.447155618051</v>
      </c>
      <c r="E8" s="338"/>
    </row>
    <row r="9" spans="1:13" x14ac:dyDescent="0.25">
      <c r="A9" s="417"/>
      <c r="B9" s="417"/>
      <c r="C9" s="418"/>
      <c r="D9" s="339">
        <f ca="1">SUM(D4:D8)-0.02</f>
        <v>84448.428622472202</v>
      </c>
      <c r="E9" s="340"/>
    </row>
    <row r="10" spans="1:13" x14ac:dyDescent="0.25">
      <c r="A10" s="419" t="s">
        <v>373</v>
      </c>
      <c r="B10" s="419"/>
      <c r="C10" s="419"/>
      <c r="D10" s="420"/>
      <c r="E10" s="340"/>
      <c r="M10" s="340">
        <f ca="1">D9*33%</f>
        <v>27867.98144541583</v>
      </c>
    </row>
    <row r="11" spans="1:13" x14ac:dyDescent="0.25">
      <c r="M11" s="340">
        <f ca="1">D9-M10</f>
        <v>56580.447177056369</v>
      </c>
    </row>
    <row r="12" spans="1:13" ht="15.75" x14ac:dyDescent="0.25">
      <c r="A12" s="412"/>
      <c r="B12" s="412"/>
      <c r="C12" s="412"/>
      <c r="D12" s="412"/>
      <c r="E12" s="412"/>
      <c r="F12" s="412"/>
      <c r="G12" s="412"/>
      <c r="H12" s="412"/>
      <c r="M12" s="340"/>
    </row>
    <row r="13" spans="1:13" ht="15.75" x14ac:dyDescent="0.25">
      <c r="A13" s="412"/>
      <c r="B13" s="412"/>
      <c r="C13" s="412"/>
      <c r="D13" s="412"/>
      <c r="E13" s="412"/>
      <c r="F13" s="412"/>
      <c r="G13" s="412"/>
      <c r="H13" s="341"/>
    </row>
    <row r="14" spans="1:13" ht="15.75" x14ac:dyDescent="0.25">
      <c r="A14" s="412"/>
      <c r="B14" s="412"/>
      <c r="C14" s="412"/>
      <c r="D14" s="412"/>
      <c r="E14" s="412"/>
      <c r="F14" s="412"/>
      <c r="G14" s="412"/>
      <c r="H14" s="22"/>
    </row>
    <row r="15" spans="1:13" ht="15.75" x14ac:dyDescent="0.25">
      <c r="A15" s="412"/>
      <c r="B15" s="412"/>
      <c r="C15" s="412"/>
      <c r="D15" s="412"/>
      <c r="E15" s="412"/>
      <c r="F15" s="412"/>
      <c r="G15" s="412"/>
      <c r="H15" s="341"/>
    </row>
    <row r="16" spans="1:13" ht="15.75" x14ac:dyDescent="0.25">
      <c r="A16" s="412"/>
      <c r="B16" s="412"/>
      <c r="C16" s="412"/>
      <c r="D16" s="412"/>
      <c r="E16" s="412"/>
      <c r="F16" s="412"/>
      <c r="G16" s="412"/>
      <c r="H16" s="342"/>
    </row>
    <row r="17" spans="1:8" ht="15.75" x14ac:dyDescent="0.25">
      <c r="A17" s="412"/>
      <c r="B17" s="412"/>
      <c r="C17" s="412"/>
      <c r="D17" s="412"/>
      <c r="E17" s="412"/>
      <c r="F17" s="412"/>
      <c r="G17" s="412"/>
      <c r="H17" s="342"/>
    </row>
  </sheetData>
  <mergeCells count="9">
    <mergeCell ref="A14:G14"/>
    <mergeCell ref="A15:G15"/>
    <mergeCell ref="A16:G16"/>
    <mergeCell ref="A17:G17"/>
    <mergeCell ref="A1:D2"/>
    <mergeCell ref="A9:C9"/>
    <mergeCell ref="A10:D10"/>
    <mergeCell ref="A12:H12"/>
    <mergeCell ref="A13:G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10</vt:i4>
      </vt:variant>
    </vt:vector>
  </HeadingPairs>
  <TitlesOfParts>
    <vt:vector size="35" baseType="lpstr">
      <vt:lpstr>Planilha Resumo Minimo MPOG</vt:lpstr>
      <vt:lpstr>Planilha2</vt:lpstr>
      <vt:lpstr>Postos de Trabalho</vt:lpstr>
      <vt:lpstr>Proposta Cadastro (2)</vt:lpstr>
      <vt:lpstr>Proposta Cadastro</vt:lpstr>
      <vt:lpstr>Agroenergia</vt:lpstr>
      <vt:lpstr>Cenargem</vt:lpstr>
      <vt:lpstr>Embrapa Agroenergia</vt:lpstr>
      <vt:lpstr>Diferença</vt:lpstr>
      <vt:lpstr>Embrapa Sede janeiro</vt:lpstr>
      <vt:lpstr>Embrapa Sede</vt:lpstr>
      <vt:lpstr>FATURA</vt:lpstr>
      <vt:lpstr>Proposta</vt:lpstr>
      <vt:lpstr>ES Memória de Cálculo</vt:lpstr>
      <vt:lpstr>1-DD</vt:lpstr>
      <vt:lpstr>2-DDM </vt:lpstr>
      <vt:lpstr>3-DDMon</vt:lpstr>
      <vt:lpstr>4-AN</vt:lpstr>
      <vt:lpstr>5-AD</vt:lpstr>
      <vt:lpstr>6-ANM</vt:lpstr>
      <vt:lpstr>7-ADM </vt:lpstr>
      <vt:lpstr>Moto</vt:lpstr>
      <vt:lpstr>Equip</vt:lpstr>
      <vt:lpstr>uniforme2</vt:lpstr>
      <vt:lpstr>Materiais</vt:lpstr>
      <vt:lpstr>Agroenergia!Area_de_impressao</vt:lpstr>
      <vt:lpstr>Cenargem!Area_de_impressao</vt:lpstr>
      <vt:lpstr>'Embrapa Agroenergia'!Area_de_impressao</vt:lpstr>
      <vt:lpstr>'Embrapa Sede'!Area_de_impressao</vt:lpstr>
      <vt:lpstr>'Embrapa Sede janeiro'!Area_de_impressao</vt:lpstr>
      <vt:lpstr>FATURA!Area_de_impressao</vt:lpstr>
      <vt:lpstr>'Planilha Resumo Minimo MPOG'!Area_de_impressao</vt:lpstr>
      <vt:lpstr>Proposta!Area_de_impressao</vt:lpstr>
      <vt:lpstr>'Proposta Cadastro'!Area_de_impressao</vt:lpstr>
      <vt:lpstr>'Proposta Cadastro (2)'!Area_de_impressao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Comercial</dc:creator>
  <cp:lastModifiedBy>Luciene Cruz</cp:lastModifiedBy>
  <cp:lastPrinted>2021-11-25T17:38:27Z</cp:lastPrinted>
  <dcterms:created xsi:type="dcterms:W3CDTF">2017-06-20T16:28:45Z</dcterms:created>
  <dcterms:modified xsi:type="dcterms:W3CDTF">2024-06-06T22:40:54Z</dcterms:modified>
</cp:coreProperties>
</file>